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E49" i="18" s="1"/>
  <c r="E17" i="18" s="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<sst xmlns="http://schemas.openxmlformats.org/spreadsheetml/2006/main" count="2483" uniqueCount="907">
  <si>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</si>
  <si>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</si>
  <si>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</si>
  <si>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</si>
  <si>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</si>
  <si>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</si>
  <si>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</si>
  <si>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</si>
  <si>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</si>
  <si>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</si>
  <si>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</si>
  <si>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</si>
  <si>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</si>
  <si>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</si>
  <si>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</si>
  <si>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</si>
  <si>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</si>
  <si>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</si>
  <si>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</si>
  <si>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</si>
  <si>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</si>
  <si>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</si>
  <si>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</si>
  <si>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</si>
  <si>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</si>
  <si>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</si>
  <si>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</si>
  <si>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</si>
  <si>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</si>
  <si>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</si>
  <si>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</si>
  <si>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</si>
  <si>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</si>
  <si>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</si>
  <si>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</si>
  <si>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</si>
  <si>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</si>
  <si>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</si>
  <si>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</si>
  <si>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</si>
  <si>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</si>
  <si>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</si>
  <si>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</si>
  <si>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</si>
  <si>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</si>
  <si>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</si>
  <si>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</si>
  <si>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</si>
  <si>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</si>
  <si>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</si>
  <si>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</si>
  <si>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</si>
  <si>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</si>
  <si>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</si>
  <si>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</si>
  <si>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</si>
  <si>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</si>
  <si>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</si>
  <si>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</si>
  <si>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</si>
  <si>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</si>
  <si>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</si>
  <si>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</si>
  <si>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</si>
  <si>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</si>
  <si>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</si>
  <si>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</si>
  <si>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</si>
  <si>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</si>
  <si>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</si>
  <si>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</si>
  <si>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</si>
  <si>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</si>
  <si>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</si>
  <si>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</si>
  <si>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</si>
  <si>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</si>
  <si>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</si>
  <si>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</si>
  <si>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</si>
  <si>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</si>
  <si>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</si>
  <si>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</si>
  <si>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</si>
  <si>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</si>
  <si>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</si>
  <si>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</si>
  <si>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</si>
  <si>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</si>
  <si>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</si>
  <si>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</si>
  <si>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</si>
  <si>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</si>
  <si>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</si>
  <si>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</si>
  <si>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</si>
  <si>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</si>
  <si>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</si>
  <si>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</si>
  <si>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</si>
  <si>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</si>
  <si>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</si>
  <si>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</si>
  <si>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</si>
  <si>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</si>
  <si>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</si>
  <si>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</si>
  <si>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</si>
  <si>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</si>
  <si>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</si>
  <si>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</si>
  <si>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</si>
  <si>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</si>
  <si>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</si>
  <si>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</si>
  <si>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</si>
  <si>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</si>
  <si>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</si>
  <si>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</si>
  <si>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</si>
  <si>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</si>
  <si>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</si>
  <si>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</si>
  <si>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</si>
  <si>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</si>
  <si>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</si>
  <si>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</si>
  <si>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</si>
  <si>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</si>
  <si>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</si>
  <si>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</si>
  <si>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</si>
  <si>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</si>
  <si>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</si>
  <si>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</si>
  <si>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</si>
  <si>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</si>
  <si>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</si>
  <si>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</si>
  <si>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</si>
  <si>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</si>
  <si>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</si>
  <si>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</si>
  <si>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</si>
  <si>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</si>
  <si>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</si>
  <si>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</si>
  <si>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</si>
  <si>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</si>
  <si>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</si>
  <si>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</si>
  <si>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</si>
  <si>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</si>
  <si>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</si>
  <si>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</si>
  <si>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</si>
  <si>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</si>
  <si>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</si>
  <si>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</si>
  <si>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</si>
  <si>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</si>
  <si>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</si>
  <si>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</si>
  <si>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</si>
  <si>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</si>
  <si>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</si>
  <si>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</si>
  <si>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</si>
  <si>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</si>
  <si>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</si>
  <si>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</si>
  <si>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</si>
  <si>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</si>
  <si>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</si>
  <si>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</si>
  <si>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</si>
  <si>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</si>
  <si>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</si>
  <si>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</si>
  <si>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</si>
  <si>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</si>
  <si>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</si>
  <si>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</si>
  <si>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</si>
  <si>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</si>
  <si>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</si>
  <si>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</si>
  <si>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</si>
  <si>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</si>
  <si>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</si>
  <si>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</si>
  <si>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</si>
  <si>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</si>
  <si>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</si>
  <si>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</si>
  <si>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</si>
  <si>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</si>
  <si>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</si>
  <si>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</si>
  <si>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</si>
  <si>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</si>
  <si>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</si>
  <si>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</si>
  <si>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</si>
  <si>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</si>
  <si>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</si>
  <si>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</si>
  <si>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</si>
  <si>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</si>
  <si>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</si>
  <si>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</si>
  <si>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</si>
  <si>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</si>
  <si>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</si>
  <si>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</si>
  <si>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</si>
  <si>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</si>
  <si>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</si>
  <si>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</si>
  <si>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</si>
  <si>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</si>
  <si>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</si>
  <si>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</si>
  <si>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</si>
  <si>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</si>
  <si>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</si>
  <si>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</si>
  <si>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</si>
  <si>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</si>
  <si>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</si>
  <si>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</si>
  <si>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</si>
  <si>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</si>
  <si>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</si>
  <si>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</si>
  <si>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</si>
  <si>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</si>
  <si>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</si>
  <si>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</si>
  <si>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</si>
  <si>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</si>
  <si>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</si>
  <si>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</si>
  <si>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</si>
  <si>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</si>
  <si>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</si>
  <si>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</si>
  <si>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</si>
  <si>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</si>
  <si>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</si>
  <si>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</si>
  <si>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</si>
  <si>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</si>
  <si>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</si>
  <si>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</si>
  <si>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</si>
  <si>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</si>
  <si>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</si>
  <si>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</si>
  <si>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</si>
  <si>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</si>
  <si>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</si>
  <si>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</si>
  <si>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</si>
  <si>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</si>
  <si>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</si>
  <si>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</si>
  <si>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</si>
  <si>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</si>
  <si>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</si>
  <si>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</si>
  <si>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</si>
  <si>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</si>
  <si>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</si>
  <si>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</si>
  <si>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</si>
  <si>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</si>
  <si>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</si>
  <si>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</si>
  <si>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</si>
  <si>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</si>
  <si>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</si>
  <si>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</si>
  <si>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</si>
  <si>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</si>
  <si>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</si>
  <si>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</si>
  <si>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</si>
  <si>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</si>
  <si>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</si>
  <si>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</si>
  <si>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</si>
  <si>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</si>
  <si>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</si>
  <si>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</si>
  <si>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</si>
  <si>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</si>
  <si>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</si>
  <si>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</si>
  <si>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</si>
  <si>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</si>
  <si>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</si>
  <si>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</si>
  <si>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</si>
  <si>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</si>
  <si>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</si>
  <si>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</si>
  <si>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</si>
  <si>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</si>
  <si>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</si>
  <si>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</si>
  <si>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</si>
  <si>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</si>
  <si>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</si>
  <si>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</si>
  <si>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</si>
  <si>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</si>
  <si>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</si>
  <si>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</si>
  <si>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</si>
  <si>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</si>
  <si>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</si>
  <si>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</si>
  <si>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</si>
  <si>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</si>
  <si>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</si>
  <si>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</si>
  <si>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</si>
  <si>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</si>
  <si>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</si>
  <si>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</si>
  <si>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</si>
  <si>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</si>
  <si>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</si>
  <si>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</si>
  <si>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</si>
  <si>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</si>
  <si>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</si>
  <si>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</si>
  <si>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</si>
  <si>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</si>
  <si>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</si>
  <si>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</si>
  <si>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</si>
  <si>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</si>
  <si>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</si>
  <si>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</si>
  <si>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</si>
  <si>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</si>
  <si>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</si>
  <si>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</si>
  <si>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</si>
  <si>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</si>
  <si>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</si>
  <si>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</si>
  <si>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</si>
  <si>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</si>
  <si>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</si>
  <si>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</si>
  <si>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</si>
  <si>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</si>
  <si>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</si>
  <si>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</si>
  <si>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</si>
  <si>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</si>
  <si>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</si>
  <si>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</si>
  <si>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</si>
  <si>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</si>
  <si>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</si>
  <si>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</si>
  <si>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</si>
  <si>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</si>
  <si>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</si>
  <si>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</si>
  <si>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</si>
  <si>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</si>
  <si>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</si>
  <si>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</si>
  <si>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</si>
  <si>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</si>
  <si>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</si>
  <si>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</si>
  <si>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</si>
  <si>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</si>
  <si>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</si>
  <si>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</si>
  <si>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</si>
  <si>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</si>
  <si>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</si>
  <si>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</si>
  <si>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</si>
  <si>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</si>
  <si>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</si>
  <si>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</si>
  <si>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</si>
  <si>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</si>
  <si>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</si>
  <si>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</si>
  <si>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</si>
  <si>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</si>
  <si>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</si>
  <si>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</si>
  <si>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</si>
  <si>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</si>
  <si>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</si>
  <si>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</si>
  <si>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</si>
  <si>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</si>
  <si>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</si>
  <si>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</si>
  <si>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</si>
  <si>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</si>
  <si>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</si>
  <si>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</si>
  <si>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</si>
  <si>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</si>
  <si>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</si>
  <si>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</si>
  <si>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</si>
  <si>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</si>
  <si>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</si>
  <si>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</si>
  <si>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</si>
  <si>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</si>
  <si>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</si>
  <si>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</si>
  <si>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</si>
  <si>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</si>
  <si>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</si>
  <si>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</si>
  <si>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</si>
  <si>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</si>
  <si>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</si>
  <si>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</si>
  <si>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</si>
  <si>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</si>
  <si>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</si>
  <si>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</si>
  <si>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</si>
  <si>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</si>
  <si>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</si>
  <si>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</si>
  <si>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</si>
  <si>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</si>
  <si>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</si>
  <si>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</si>
  <si>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</si>
  <si>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</si>
  <si>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</si>
  <si>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</si>
  <si>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</si>
  <si>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</si>
  <si>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</si>
  <si>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</si>
  <si>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</si>
  <si>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</si>
  <si>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</si>
  <si>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</si>
  <si>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</si>
  <si>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</si>
  <si>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</si>
  <si>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</si>
  <si>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</si>
  <si>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</si>
  <si>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</si>
  <si>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</si>
  <si>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</si>
  <si>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</si>
  <si>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</si>
  <si>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</si>
  <si>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</si>
  <si>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</si>
  <si>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</si>
  <si>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</si>
  <si>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</si>
  <si>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</si>
  <si>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</si>
  <si>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</si>
  <si>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</si>
  <si>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</si>
  <si>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</si>
  <si>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</si>
  <si>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</si>
  <si>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</si>
  <si>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</si>
  <si>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</si>
  <si>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</si>
  <si>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</si>
  <si>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</si>
  <si>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</si>
  <si>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</si>
  <si>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</si>
  <si>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</si>
  <si>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</si>
  <si>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</si>
  <si>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</si>
  <si>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</si>
  <si>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</si>
  <si>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</si>
  <si>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</si>
  <si>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</si>
  <si>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</si>
  <si>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</si>
  <si>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</si>
  <si>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</si>
  <si>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</si>
  <si>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</si>
  <si>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</si>
  <si>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</si>
  <si>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</si>
  <si>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</si>
  <si>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</si>
  <si>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</si>
  <si>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</si>
  <si>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</si>
  <si>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</si>
  <si>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</si>
  <si>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</si>
  <si>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</si>
  <si>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</si>
  <si>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</si>
  <si>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</si>
  <si>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</si>
  <si>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</si>
  <si>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</si>
  <si>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</si>
  <si>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</si>
  <si>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</si>
  <si>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</si>
  <si>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</si>
  <si>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</si>
  <si>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</si>
  <si>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</si>
  <si>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</si>
  <si>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</si>
  <si>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</si>
  <si>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</si>
  <si>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</si>
  <si>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</si>
  <si>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</si>
  <si>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</si>
  <si>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</si>
  <si>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</si>
  <si>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</si>
  <si>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</si>
  <si>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</si>
  <si>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</si>
  <si>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</si>
  <si>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</si>
  <si>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</si>
  <si>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</si>
  <si>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</si>
  <si>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</si>
  <si>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</si>
  <si>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</si>
  <si>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</si>
  <si>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</si>
  <si>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</si>
  <si>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</si>
  <si>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</si>
  <si>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</si>
  <si>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</si>
  <si>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</si>
  <si>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</si>
  <si>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</si>
  <si>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</si>
  <si>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</si>
  <si>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</si>
  <si>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</si>
  <si>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</si>
  <si>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</si>
  <si>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</si>
  <si>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</si>
  <si>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</si>
  <si>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</si>
  <si>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</si>
  <si>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</si>
  <si>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</si>
  <si>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</si>
  <si>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</si>
  <si>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</si>
  <si>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</si>
  <si>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</si>
  <si>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</si>
  <si>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</si>
  <si>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</si>
  <si>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</si>
  <si>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</si>
  <si>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</si>
  <si>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</si>
  <si>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</si>
  <si>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</si>
  <si>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</si>
  <si>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</si>
  <si>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</si>
  <si>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</si>
  <si>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</si>
  <si>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</si>
  <si>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</si>
  <si>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</si>
  <si>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</si>
  <si>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</si>
  <si>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</si>
  <si>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</si>
  <si>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</si>
  <si>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</si>
  <si>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</si>
  <si>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</si>
  <si>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</si>
  <si>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</si>
  <si>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</si>
  <si>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</si>
  <si>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</si>
  <si>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</si>
  <si>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</si>
  <si>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</si>
  <si>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</si>
  <si>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</si>
  <si>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</si>
  <si>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</si>
  <si>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</si>
  <si>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</si>
  <si>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</si>
  <si>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</si>
  <si>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</si>
  <si>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</si>
  <si>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</si>
  <si>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</si>
  <si>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</si>
  <si>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</si>
  <si>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</si>
  <si>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</si>
  <si>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</si>
  <si>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</si>
  <si>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</si>
  <si>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</si>
  <si>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</si>
  <si>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</si>
  <si>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</si>
  <si>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</si>
  <si>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</si>
  <si>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</si>
  <si>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</si>
  <si>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</si>
  <si>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</si>
  <si>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</si>
  <si>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</si>
  <si>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</si>
  <si>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</si>
  <si>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</si>
  <si>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</si>
  <si>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</si>
  <si>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</si>
  <si>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</si>
  <si>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</si>
  <si>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</si>
  <si>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</si>
  <si>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</si>
  <si>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</si>
  <si>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</si>
  <si>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</si>
  <si>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</si>
  <si>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</si>
  <si>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</si>
  <si>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</si>
  <si>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</si>
  <si>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</si>
  <si>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</si>
  <si>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</si>
  <si>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</si>
  <si>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</si>
  <si>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</si>
  <si>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</si>
  <si>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</si>
  <si>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</si>
  <si>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</si>
  <si>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</si>
  <si>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</si>
  <si>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</si>
  <si>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</si>
  <si>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</si>
  <si>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</si>
  <si>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</si>
  <si>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</si>
  <si>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</si>
  <si>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</si>
  <si>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</si>
  <si>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</si>
  <si>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</si>
  <si>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</si>
  <si>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</si>
  <si>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</si>
  <si>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</si>
  <si>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</si>
  <si>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</si>
  <si>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</si>
  <si>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</si>
  <si>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</si>
  <si>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</si>
  <si>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</si>
  <si>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</si>
  <si>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</si>
  <si>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</si>
  <si>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</si>
  <si>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</si>
  <si>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</si>
  <si>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</si>
  <si>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</si>
  <si>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</si>
  <si>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</si>
  <si>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</si>
  <si>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</si>
  <si>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</si>
  <si>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</si>
  <si>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</si>
  <si>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</si>
  <si>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</si>
  <si>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</si>
  <si>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</si>
  <si>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</si>
  <si>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</si>
  <si>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</si>
  <si>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</si>
  <si>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</si>
  <si>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</si>
  <si>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</si>
  <si>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</si>
  <si>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</si>
  <si>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</si>
  <si>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</si>
  <si>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</si>
  <si>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</si>
  <si>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</si>
  <si>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</si>
  <si>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</si>
  <si>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</si>
  <si>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</si>
  <si>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</si>
  <si>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</si>
  <si>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</si>
  <si>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</si>
  <si>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</si>
  <si>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</si>
  <si>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</si>
  <si>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</si>
  <si>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</si>
  <si>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</si>
  <si>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</si>
  <si>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</si>
  <si>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</si>
  <si>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</si>
  <si>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</si>
  <si>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</si>
  <si>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</si>
  <si>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</si>
  <si>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</si>
  <si>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</si>
  <si>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</si>
  <si>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</si>
  <si>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</si>
  <si>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</si>
  <si>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</si>
  <si>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</si>
  <si>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</si>
  <si>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</si>
  <si>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</si>
  <si>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</si>
  <si>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</si>
  <si>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</si>
  <si>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</si>
  <si>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</si>
  <si>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</si>
  <si>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</si>
  <si>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</si>
  <si>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</si>
  <si>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</si>
  <si>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</si>
  <si>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</si>
  <si>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</si>
  <si>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</si>
  <si>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</si>
  <si>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</si>
  <si>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</si>
  <si>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</si>
  <si>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</si>
  <si>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</si>
  <si>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</si>
  <si>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</si>
  <si>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</si>
  <si>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</si>
  <si>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</si>
  <si>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</si>
  <si>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</si>
  <si>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</si>
  <si>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</si>
  <si>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</si>
  <si>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</si>
  <si>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</si>
  <si>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</si>
  <si>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</si>
  <si>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</si>
  <si>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</si>
  <si>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</si>
  <si>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</si>
  <si>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</si>
  <si>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</si>
  <si>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</si>
  <si>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</si>
  <si>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</si>
  <si>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</si>
  <si>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</si>
  <si>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</si>
  <si>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</si>
  <si>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</si>
  <si>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</si>
  <si>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</si>
  <si>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</si>
  <si>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</si>
  <si>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</si>
  <si>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</si>
  <si>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</si>
  <si>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</si>
  <si>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</si>
  <si>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</si>
  <si>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</si>
  <si>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</si>
  <si>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</si>
  <si>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</si>
  <si>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</si>
  <si>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</si>
  <si>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</si>
  <si>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</si>
  <si>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</si>
  <si>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</si>
  <si>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</si>
  <si>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</si>
  <si>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</si>
  <si>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</si>
  <si>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</si>
  <si>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</si>
  <si>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</si>
  <si>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</si>
  <si>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</si>
  <si>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</si>
  <si>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</si>
  <si>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</si>
  <si>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</si>
  <si>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</si>
  <si>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</si>
  <si>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</si>
  <si>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</si>
  <si>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</si>
  <si>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</si>
  <si>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</si>
  <si>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</si>
  <si>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</si>
  <si>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</si>
  <si>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</si>
  <si>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</si>
  <si>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</si>
  <si>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</si>
  <si>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</si>
  <si>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</si>
  <si>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</si>
  <si>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</si>
  <si>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</si>
  <si>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</si>
  <si>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</si>
  <si>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</si>
  <si>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</si>
  <si>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</si>
  <si>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</si>
  <si>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</si>
  <si>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</si>
  <si>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</si>
  <si>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</si>
  <si>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</si>
  <si>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</si>
  <si>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</si>
  <si>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</si>
  <si>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</si>
  <si>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</si>
  <si>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</si>
  <si>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</si>
  <si>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</si>
  <si>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</si>
  <si>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</si>
  <si>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</si>
  <si>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</si>
  <si>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</si>
  <si>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</si>
  <si>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</si>
  <si>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</si>
  <si>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</si>
  <si>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</si>
  <si>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</si>
  <si>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</si>
  <si>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72038</t>
  </si>
  <si>
    <t>HECHTEL-EKSEL</t>
  </si>
  <si>
    <t>Fluvius</t>
  </si>
  <si>
    <t>referentietaak LNE (2017); Jaarverslag De Lijn</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</si>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</sst>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104543.78590747729</c:v>
                </c:pt>
                <c:pt idx="1">
                  <c:v>17828.047756036038</c:v>
                </c:pt>
                <c:pt idx="2">
                  <c:v>864.48500000000001</c:v>
                </c:pt>
                <c:pt idx="3">
                  <c:v>3218.6703930890294</c:v>
                </c:pt>
                <c:pt idx="4">
                  <c:v>7540.6605905586794</c:v>
                </c:pt>
                <c:pt idx="5">
                  <c:v>115676.03618957767</c:v>
                </c:pt>
                <c:pt idx="6">
                  <c:v>2115.9806117093081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104543.78590747729</c:v>
                </c:pt>
                <c:pt idx="1">
                  <c:v>17828.047756036038</c:v>
                </c:pt>
                <c:pt idx="2">
                  <c:v>864.48500000000001</c:v>
                </c:pt>
                <c:pt idx="3">
                  <c:v>3218.6703930890294</c:v>
                </c:pt>
                <c:pt idx="4">
                  <c:v>7540.6605905586794</c:v>
                </c:pt>
                <c:pt idx="5">
                  <c:v>115676.03618957767</c:v>
                </c:pt>
                <c:pt idx="6">
                  <c:v>2115.9806117093081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21355.819374216728</c:v>
                </c:pt>
                <c:pt idx="2">
                  <c:v>3372.2064090736085</c:v>
                </c:pt>
                <c:pt idx="3">
                  <c:v>157.17573654594142</c:v>
                </c:pt>
                <c:pt idx="4">
                  <c:v>814.12529827594597</c:v>
                </c:pt>
                <c:pt idx="5">
                  <c:v>1511.8086303229672</c:v>
                </c:pt>
                <c:pt idx="6">
                  <c:v>28968.381813413333</c:v>
                </c:pt>
                <c:pt idx="7">
                  <c:v>532.71396952753616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21355.819374216728</c:v>
                </c:pt>
                <c:pt idx="2">
                  <c:v>3372.2064090736085</c:v>
                </c:pt>
                <c:pt idx="3">
                  <c:v>157.17573654594142</c:v>
                </c:pt>
                <c:pt idx="4">
                  <c:v>814.12529827594597</c:v>
                </c:pt>
                <c:pt idx="5">
                  <c:v>1511.8086303229672</c:v>
                </c:pt>
                <c:pt idx="6">
                  <c:v>28968.381813413333</c:v>
                </c:pt>
                <c:pt idx="7">
                  <c:v>532.71396952753616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72038</v>
      </c>
      <c r="B6" s="384"/>
      <c r="C6" s="385"/>
    </row>
    <row r="7" spans="1:7" s="382" customFormat="1" ht="15.75" customHeight="1">
      <c r="A7" s="386" t="str">
        <f>txtMunicipality</f>
        <v>HECHTEL-EKSEL</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9096.9895780000006</v>
      </c>
      <c r="D10" s="973">
        <f ca="1">tertiair!C16</f>
        <v>128.57142857142858</v>
      </c>
      <c r="E10" s="973">
        <f ca="1">tertiair!D16</f>
        <v>7156.628851057143</v>
      </c>
      <c r="F10" s="973">
        <f>tertiair!E16</f>
        <v>106.08446056424921</v>
      </c>
      <c r="G10" s="973">
        <f ca="1">tertiair!F16</f>
        <v>1405.0096434536292</v>
      </c>
      <c r="H10" s="973">
        <f>tertiair!G16</f>
        <v>0</v>
      </c>
      <c r="I10" s="973">
        <f>tertiair!H16</f>
        <v>0</v>
      </c>
      <c r="J10" s="973">
        <f>tertiair!I16</f>
        <v>0</v>
      </c>
      <c r="K10" s="973">
        <f>tertiair!J16</f>
        <v>1.9608569492784795E-2</v>
      </c>
      <c r="L10" s="973">
        <f>tertiair!K16</f>
        <v>0</v>
      </c>
      <c r="M10" s="973">
        <f ca="1">tertiair!L16</f>
        <v>0</v>
      </c>
      <c r="N10" s="973">
        <f>tertiair!M16</f>
        <v>0</v>
      </c>
      <c r="O10" s="973">
        <f ca="1">tertiair!N16</f>
        <v>797.66585248676313</v>
      </c>
      <c r="P10" s="973">
        <f>tertiair!O16</f>
        <v>1.5633333333333335</v>
      </c>
      <c r="Q10" s="974">
        <f>tertiair!P16</f>
        <v>0</v>
      </c>
      <c r="R10" s="668">
        <f ca="1">SUM(C10:Q10)</f>
        <v>18692.532756036038</v>
      </c>
      <c r="S10" s="67"/>
    </row>
    <row r="11" spans="1:19" s="441" customFormat="1">
      <c r="A11" s="777" t="s">
        <v>219</v>
      </c>
      <c r="B11" s="782"/>
      <c r="C11" s="973">
        <f>huishoudens!B8</f>
        <v>21789.940955898011</v>
      </c>
      <c r="D11" s="973">
        <f>huishoudens!C8</f>
        <v>0</v>
      </c>
      <c r="E11" s="973">
        <f>huishoudens!D8</f>
        <v>33873.001688900004</v>
      </c>
      <c r="F11" s="973">
        <f>huishoudens!E8</f>
        <v>1499.9488664668011</v>
      </c>
      <c r="G11" s="973">
        <f>huishoudens!F8</f>
        <v>38001.980726933616</v>
      </c>
      <c r="H11" s="973">
        <f>huishoudens!G8</f>
        <v>0</v>
      </c>
      <c r="I11" s="973">
        <f>huishoudens!H8</f>
        <v>0</v>
      </c>
      <c r="J11" s="973">
        <f>huishoudens!I8</f>
        <v>0</v>
      </c>
      <c r="K11" s="973">
        <f>huishoudens!J8</f>
        <v>182.86126777008647</v>
      </c>
      <c r="L11" s="973">
        <f>huishoudens!K8</f>
        <v>0</v>
      </c>
      <c r="M11" s="973">
        <f>huishoudens!L8</f>
        <v>0</v>
      </c>
      <c r="N11" s="973">
        <f>huishoudens!M8</f>
        <v>0</v>
      </c>
      <c r="O11" s="973">
        <f>huishoudens!N8</f>
        <v>7514.9390681754103</v>
      </c>
      <c r="P11" s="973">
        <f>huishoudens!O8</f>
        <v>384.58000000000004</v>
      </c>
      <c r="Q11" s="974">
        <f>huishoudens!P8</f>
        <v>1296.5333333333333</v>
      </c>
      <c r="R11" s="668">
        <f>SUM(C11:Q11)</f>
        <v>104543.78590747729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3321.848414</v>
      </c>
      <c r="D13" s="973">
        <f>industrie!C18</f>
        <v>0</v>
      </c>
      <c r="E13" s="973">
        <f>industrie!D18</f>
        <v>2528.0249205640002</v>
      </c>
      <c r="F13" s="973">
        <f>industrie!E18</f>
        <v>382.55417112938079</v>
      </c>
      <c r="G13" s="973">
        <f>industrie!F18</f>
        <v>1162.150283109936</v>
      </c>
      <c r="H13" s="973">
        <f>industrie!G18</f>
        <v>0</v>
      </c>
      <c r="I13" s="973">
        <f>industrie!H18</f>
        <v>0</v>
      </c>
      <c r="J13" s="973">
        <f>industrie!I18</f>
        <v>0</v>
      </c>
      <c r="K13" s="973">
        <f>industrie!J18</f>
        <v>0.15289382788056941</v>
      </c>
      <c r="L13" s="973">
        <f>industrie!K18</f>
        <v>0</v>
      </c>
      <c r="M13" s="973">
        <f>industrie!L18</f>
        <v>0</v>
      </c>
      <c r="N13" s="973">
        <f>industrie!M18</f>
        <v>0</v>
      </c>
      <c r="O13" s="973">
        <f>industrie!N18</f>
        <v>145.92990792748159</v>
      </c>
      <c r="P13" s="973">
        <f>industrie!O18</f>
        <v>0</v>
      </c>
      <c r="Q13" s="974">
        <f>industrie!P18</f>
        <v>0</v>
      </c>
      <c r="R13" s="668">
        <f>SUM(C13:Q13)</f>
        <v>7540.6605905586794</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34208.778947898012</v>
      </c>
      <c r="D16" s="700">
        <f t="shared" ref="D16:R16" ca="1" si="0">SUM(D9:D15)</f>
        <v>128.57142857142858</v>
      </c>
      <c r="E16" s="700">
        <f t="shared" ca="1" si="0"/>
        <v>43557.655460521142</v>
      </c>
      <c r="F16" s="700">
        <f t="shared" si="0"/>
        <v>1988.5874981604311</v>
      </c>
      <c r="G16" s="700">
        <f t="shared" ca="1" si="0"/>
        <v>40569.140653497183</v>
      </c>
      <c r="H16" s="700">
        <f t="shared" si="0"/>
        <v>0</v>
      </c>
      <c r="I16" s="700">
        <f t="shared" si="0"/>
        <v>0</v>
      </c>
      <c r="J16" s="700">
        <f t="shared" si="0"/>
        <v>0</v>
      </c>
      <c r="K16" s="700">
        <f t="shared" si="0"/>
        <v>183.03377016745983</v>
      </c>
      <c r="L16" s="700">
        <f t="shared" si="0"/>
        <v>0</v>
      </c>
      <c r="M16" s="700">
        <f t="shared" ca="1" si="0"/>
        <v>0</v>
      </c>
      <c r="N16" s="700">
        <f t="shared" si="0"/>
        <v>0</v>
      </c>
      <c r="O16" s="700">
        <f t="shared" ca="1" si="0"/>
        <v>8458.5348285896562</v>
      </c>
      <c r="P16" s="700">
        <f t="shared" si="0"/>
        <v>386.14333333333337</v>
      </c>
      <c r="Q16" s="700">
        <f t="shared" si="0"/>
        <v>1296.5333333333333</v>
      </c>
      <c r="R16" s="700">
        <f t="shared" ca="1" si="0"/>
        <v>130776.97925407199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21.086046932008394</v>
      </c>
      <c r="D19" s="973">
        <f>transport!C54</f>
        <v>0</v>
      </c>
      <c r="E19" s="973">
        <f>transport!D54</f>
        <v>0</v>
      </c>
      <c r="F19" s="973">
        <f>transport!E54</f>
        <v>0</v>
      </c>
      <c r="G19" s="973">
        <f>transport!F54</f>
        <v>0</v>
      </c>
      <c r="H19" s="973">
        <f>transport!G54</f>
        <v>1980.8248113498994</v>
      </c>
      <c r="I19" s="973">
        <f>transport!H54</f>
        <v>0</v>
      </c>
      <c r="J19" s="973">
        <f>transport!I54</f>
        <v>0</v>
      </c>
      <c r="K19" s="973">
        <f>transport!J54</f>
        <v>0</v>
      </c>
      <c r="L19" s="973">
        <f>transport!K54</f>
        <v>0</v>
      </c>
      <c r="M19" s="973">
        <f>transport!L54</f>
        <v>0</v>
      </c>
      <c r="N19" s="973">
        <f>transport!M54</f>
        <v>114.06975342739999</v>
      </c>
      <c r="O19" s="973">
        <f>transport!N54</f>
        <v>0</v>
      </c>
      <c r="P19" s="973">
        <f>transport!O54</f>
        <v>0</v>
      </c>
      <c r="Q19" s="974">
        <f>transport!P54</f>
        <v>0</v>
      </c>
      <c r="R19" s="668">
        <f>SUM(C19:Q19)</f>
        <v>2115.9806117093081</v>
      </c>
      <c r="S19" s="67"/>
    </row>
    <row r="20" spans="1:19" s="441" customFormat="1">
      <c r="A20" s="777" t="s">
        <v>301</v>
      </c>
      <c r="B20" s="782"/>
      <c r="C20" s="973">
        <f>transport!B14</f>
        <v>67.211661715462853</v>
      </c>
      <c r="D20" s="973">
        <f>transport!C14</f>
        <v>0</v>
      </c>
      <c r="E20" s="973">
        <f>transport!D14</f>
        <v>114.17671420223186</v>
      </c>
      <c r="F20" s="973">
        <f>transport!E14</f>
        <v>199.92454995860854</v>
      </c>
      <c r="G20" s="973">
        <f>transport!F14</f>
        <v>0</v>
      </c>
      <c r="H20" s="973">
        <f>transport!G14</f>
        <v>91030.288199458199</v>
      </c>
      <c r="I20" s="973">
        <f>transport!H14</f>
        <v>18404.1295329809</v>
      </c>
      <c r="J20" s="973">
        <f>transport!I14</f>
        <v>0</v>
      </c>
      <c r="K20" s="973">
        <f>transport!J14</f>
        <v>0</v>
      </c>
      <c r="L20" s="973">
        <f>transport!K14</f>
        <v>0</v>
      </c>
      <c r="M20" s="973">
        <f>transport!L14</f>
        <v>0</v>
      </c>
      <c r="N20" s="973">
        <f>transport!M14</f>
        <v>5860.3055312622537</v>
      </c>
      <c r="O20" s="973">
        <f>transport!N14</f>
        <v>0</v>
      </c>
      <c r="P20" s="973">
        <f>transport!O14</f>
        <v>0</v>
      </c>
      <c r="Q20" s="974">
        <f>transport!P14</f>
        <v>0</v>
      </c>
      <c r="R20" s="668">
        <f>SUM(C20:Q20)</f>
        <v>115676.03618957767</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88.297708647471239</v>
      </c>
      <c r="D22" s="780">
        <f t="shared" ref="D22:R22" si="1">SUM(D18:D21)</f>
        <v>0</v>
      </c>
      <c r="E22" s="780">
        <f t="shared" si="1"/>
        <v>114.17671420223186</v>
      </c>
      <c r="F22" s="780">
        <f t="shared" si="1"/>
        <v>199.92454995860854</v>
      </c>
      <c r="G22" s="780">
        <f t="shared" si="1"/>
        <v>0</v>
      </c>
      <c r="H22" s="780">
        <f t="shared" si="1"/>
        <v>93011.113010808098</v>
      </c>
      <c r="I22" s="780">
        <f t="shared" si="1"/>
        <v>18404.1295329809</v>
      </c>
      <c r="J22" s="780">
        <f t="shared" si="1"/>
        <v>0</v>
      </c>
      <c r="K22" s="780">
        <f t="shared" si="1"/>
        <v>0</v>
      </c>
      <c r="L22" s="780">
        <f t="shared" si="1"/>
        <v>0</v>
      </c>
      <c r="M22" s="780">
        <f t="shared" si="1"/>
        <v>0</v>
      </c>
      <c r="N22" s="780">
        <f t="shared" si="1"/>
        <v>5974.3752846896541</v>
      </c>
      <c r="O22" s="780">
        <f t="shared" si="1"/>
        <v>0</v>
      </c>
      <c r="P22" s="780">
        <f t="shared" si="1"/>
        <v>0</v>
      </c>
      <c r="Q22" s="780">
        <f t="shared" si="1"/>
        <v>0</v>
      </c>
      <c r="R22" s="780">
        <f t="shared" si="1"/>
        <v>117792.01680128698</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599.779</v>
      </c>
      <c r="D24" s="973">
        <f>+landbouw!C8</f>
        <v>0</v>
      </c>
      <c r="E24" s="973">
        <f>+landbouw!D8</f>
        <v>15.720056000000001</v>
      </c>
      <c r="F24" s="973">
        <f>+landbouw!E8</f>
        <v>17.629336746510855</v>
      </c>
      <c r="G24" s="973">
        <f>+landbouw!F8</f>
        <v>2498.6469036439839</v>
      </c>
      <c r="H24" s="973">
        <f>+landbouw!G8</f>
        <v>0</v>
      </c>
      <c r="I24" s="973">
        <f>+landbouw!H8</f>
        <v>0</v>
      </c>
      <c r="J24" s="973">
        <f>+landbouw!I8</f>
        <v>0</v>
      </c>
      <c r="K24" s="973">
        <f>+landbouw!J8</f>
        <v>86.895096698534488</v>
      </c>
      <c r="L24" s="973">
        <f>+landbouw!K8</f>
        <v>0</v>
      </c>
      <c r="M24" s="973">
        <f>+landbouw!L8</f>
        <v>0</v>
      </c>
      <c r="N24" s="973">
        <f>+landbouw!M8</f>
        <v>0</v>
      </c>
      <c r="O24" s="973">
        <f>+landbouw!N8</f>
        <v>0</v>
      </c>
      <c r="P24" s="973">
        <f>+landbouw!O8</f>
        <v>0</v>
      </c>
      <c r="Q24" s="974">
        <f>+landbouw!P8</f>
        <v>0</v>
      </c>
      <c r="R24" s="668">
        <f>SUM(C24:Q24)</f>
        <v>3218.6703930890294</v>
      </c>
      <c r="S24" s="67"/>
    </row>
    <row r="25" spans="1:19" s="441" customFormat="1" ht="15" thickBot="1">
      <c r="A25" s="799" t="s">
        <v>808</v>
      </c>
      <c r="B25" s="976"/>
      <c r="C25" s="977">
        <f>IF(Onbekend_ele_kWh="---",0,Onbekend_ele_kWh)/1000+IF(REST_rest_ele_kWh="---",0,REST_rest_ele_kWh)/1000</f>
        <v>329.06670000000003</v>
      </c>
      <c r="D25" s="977"/>
      <c r="E25" s="977">
        <f>IF(onbekend_gas_kWh="---",0,onbekend_gas_kWh)/1000+IF(REST_rest_gas_kWh="---",0,REST_rest_gas_kWh)/1000</f>
        <v>424.31259999999997</v>
      </c>
      <c r="F25" s="977"/>
      <c r="G25" s="977"/>
      <c r="H25" s="977"/>
      <c r="I25" s="977"/>
      <c r="J25" s="977"/>
      <c r="K25" s="977"/>
      <c r="L25" s="977"/>
      <c r="M25" s="977"/>
      <c r="N25" s="977"/>
      <c r="O25" s="977"/>
      <c r="P25" s="977"/>
      <c r="Q25" s="978"/>
      <c r="R25" s="668">
        <f>SUM(C25:Q25)</f>
        <v>753.37930000000006</v>
      </c>
      <c r="S25" s="67"/>
    </row>
    <row r="26" spans="1:19" s="441" customFormat="1" ht="15.75" thickBot="1">
      <c r="A26" s="673" t="s">
        <v>809</v>
      </c>
      <c r="B26" s="785"/>
      <c r="C26" s="780">
        <f>SUM(C24:C25)</f>
        <v>928.84570000000008</v>
      </c>
      <c r="D26" s="780">
        <f t="shared" ref="D26:R26" si="2">SUM(D24:D25)</f>
        <v>0</v>
      </c>
      <c r="E26" s="780">
        <f t="shared" si="2"/>
        <v>440.03265599999997</v>
      </c>
      <c r="F26" s="780">
        <f t="shared" si="2"/>
        <v>17.629336746510855</v>
      </c>
      <c r="G26" s="780">
        <f t="shared" si="2"/>
        <v>2498.6469036439839</v>
      </c>
      <c r="H26" s="780">
        <f t="shared" si="2"/>
        <v>0</v>
      </c>
      <c r="I26" s="780">
        <f t="shared" si="2"/>
        <v>0</v>
      </c>
      <c r="J26" s="780">
        <f t="shared" si="2"/>
        <v>0</v>
      </c>
      <c r="K26" s="780">
        <f t="shared" si="2"/>
        <v>86.895096698534488</v>
      </c>
      <c r="L26" s="780">
        <f t="shared" si="2"/>
        <v>0</v>
      </c>
      <c r="M26" s="780">
        <f t="shared" si="2"/>
        <v>0</v>
      </c>
      <c r="N26" s="780">
        <f t="shared" si="2"/>
        <v>0</v>
      </c>
      <c r="O26" s="780">
        <f t="shared" si="2"/>
        <v>0</v>
      </c>
      <c r="P26" s="780">
        <f t="shared" si="2"/>
        <v>0</v>
      </c>
      <c r="Q26" s="780">
        <f t="shared" si="2"/>
        <v>0</v>
      </c>
      <c r="R26" s="780">
        <f t="shared" si="2"/>
        <v>3972.0496930890295</v>
      </c>
      <c r="S26" s="67"/>
    </row>
    <row r="27" spans="1:19" s="441" customFormat="1" ht="17.25" thickTop="1" thickBot="1">
      <c r="A27" s="674" t="s">
        <v>115</v>
      </c>
      <c r="B27" s="773"/>
      <c r="C27" s="675">
        <f ca="1">C22+C16+C26</f>
        <v>35225.922356545481</v>
      </c>
      <c r="D27" s="675">
        <f t="shared" ref="D27:R27" ca="1" si="3">D22+D16+D26</f>
        <v>128.57142857142858</v>
      </c>
      <c r="E27" s="675">
        <f t="shared" ca="1" si="3"/>
        <v>44111.864830723374</v>
      </c>
      <c r="F27" s="675">
        <f t="shared" si="3"/>
        <v>2206.1413848655507</v>
      </c>
      <c r="G27" s="675">
        <f t="shared" ca="1" si="3"/>
        <v>43067.787557141164</v>
      </c>
      <c r="H27" s="675">
        <f t="shared" si="3"/>
        <v>93011.113010808098</v>
      </c>
      <c r="I27" s="675">
        <f t="shared" si="3"/>
        <v>18404.1295329809</v>
      </c>
      <c r="J27" s="675">
        <f t="shared" si="3"/>
        <v>0</v>
      </c>
      <c r="K27" s="675">
        <f t="shared" si="3"/>
        <v>269.92886686599434</v>
      </c>
      <c r="L27" s="675">
        <f t="shared" si="3"/>
        <v>0</v>
      </c>
      <c r="M27" s="675">
        <f t="shared" ca="1" si="3"/>
        <v>0</v>
      </c>
      <c r="N27" s="675">
        <f t="shared" si="3"/>
        <v>5974.3752846896541</v>
      </c>
      <c r="O27" s="675">
        <f t="shared" ca="1" si="3"/>
        <v>8458.5348285896562</v>
      </c>
      <c r="P27" s="675">
        <f t="shared" si="3"/>
        <v>386.14333333333337</v>
      </c>
      <c r="Q27" s="675">
        <f t="shared" si="3"/>
        <v>1296.5333333333333</v>
      </c>
      <c r="R27" s="675">
        <f t="shared" ca="1" si="3"/>
        <v>252541.045748448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1653.9628070734632</v>
      </c>
      <c r="D40" s="973">
        <f ca="1">tertiair!C20</f>
        <v>30.554621848739504</v>
      </c>
      <c r="E40" s="973">
        <f ca="1">tertiair!D20</f>
        <v>1445.639027913543</v>
      </c>
      <c r="F40" s="973">
        <f>tertiair!E20</f>
        <v>24.081172548084574</v>
      </c>
      <c r="G40" s="973">
        <f ca="1">tertiair!F20</f>
        <v>375.13757480211905</v>
      </c>
      <c r="H40" s="973">
        <f>tertiair!G20</f>
        <v>0</v>
      </c>
      <c r="I40" s="973">
        <f>tertiair!H20</f>
        <v>0</v>
      </c>
      <c r="J40" s="973">
        <f>tertiair!I20</f>
        <v>0</v>
      </c>
      <c r="K40" s="973">
        <f>tertiair!J20</f>
        <v>6.9414336004458167E-3</v>
      </c>
      <c r="L40" s="973">
        <f>tertiair!K20</f>
        <v>0</v>
      </c>
      <c r="M40" s="973">
        <f ca="1">tertiair!L20</f>
        <v>0</v>
      </c>
      <c r="N40" s="973">
        <f>tertiair!M20</f>
        <v>0</v>
      </c>
      <c r="O40" s="973">
        <f ca="1">tertiair!N20</f>
        <v>0</v>
      </c>
      <c r="P40" s="973">
        <f>tertiair!O20</f>
        <v>0</v>
      </c>
      <c r="Q40" s="742">
        <f>tertiair!P20</f>
        <v>0</v>
      </c>
      <c r="R40" s="818">
        <f t="shared" ca="1" si="4"/>
        <v>3529.3821456195496</v>
      </c>
    </row>
    <row r="41" spans="1:18">
      <c r="A41" s="790" t="s">
        <v>219</v>
      </c>
      <c r="B41" s="797"/>
      <c r="C41" s="973">
        <f ca="1">huishoudens!B12</f>
        <v>3961.7228974890772</v>
      </c>
      <c r="D41" s="973">
        <f ca="1">huishoudens!C12</f>
        <v>0</v>
      </c>
      <c r="E41" s="973">
        <f>huishoudens!D12</f>
        <v>6842.3463411578014</v>
      </c>
      <c r="F41" s="973">
        <f>huishoudens!E12</f>
        <v>340.48839268796388</v>
      </c>
      <c r="G41" s="973">
        <f>huishoudens!F12</f>
        <v>10146.528854091275</v>
      </c>
      <c r="H41" s="973">
        <f>huishoudens!G12</f>
        <v>0</v>
      </c>
      <c r="I41" s="973">
        <f>huishoudens!H12</f>
        <v>0</v>
      </c>
      <c r="J41" s="973">
        <f>huishoudens!I12</f>
        <v>0</v>
      </c>
      <c r="K41" s="973">
        <f>huishoudens!J12</f>
        <v>64.732888790610602</v>
      </c>
      <c r="L41" s="973">
        <f>huishoudens!K12</f>
        <v>0</v>
      </c>
      <c r="M41" s="973">
        <f>huishoudens!L12</f>
        <v>0</v>
      </c>
      <c r="N41" s="973">
        <f>huishoudens!M12</f>
        <v>0</v>
      </c>
      <c r="O41" s="973">
        <f>huishoudens!N12</f>
        <v>0</v>
      </c>
      <c r="P41" s="973">
        <f>huishoudens!O12</f>
        <v>0</v>
      </c>
      <c r="Q41" s="742">
        <f>huishoudens!P12</f>
        <v>0</v>
      </c>
      <c r="R41" s="818">
        <f t="shared" ca="1" si="4"/>
        <v>21355.819374216728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603.95954951724707</v>
      </c>
      <c r="D43" s="973">
        <f ca="1">industrie!C22</f>
        <v>0</v>
      </c>
      <c r="E43" s="973">
        <f>industrie!D22</f>
        <v>510.6610339539281</v>
      </c>
      <c r="F43" s="973">
        <f>industrie!E22</f>
        <v>86.839796846369438</v>
      </c>
      <c r="G43" s="973">
        <f>industrie!F22</f>
        <v>310.29412559035296</v>
      </c>
      <c r="H43" s="973">
        <f>industrie!G22</f>
        <v>0</v>
      </c>
      <c r="I43" s="973">
        <f>industrie!H22</f>
        <v>0</v>
      </c>
      <c r="J43" s="973">
        <f>industrie!I22</f>
        <v>0</v>
      </c>
      <c r="K43" s="973">
        <f>industrie!J22</f>
        <v>5.4124415069721564E-2</v>
      </c>
      <c r="L43" s="973">
        <f>industrie!K22</f>
        <v>0</v>
      </c>
      <c r="M43" s="973">
        <f>industrie!L22</f>
        <v>0</v>
      </c>
      <c r="N43" s="973">
        <f>industrie!M22</f>
        <v>0</v>
      </c>
      <c r="O43" s="973">
        <f>industrie!N22</f>
        <v>0</v>
      </c>
      <c r="P43" s="973">
        <f>industrie!O22</f>
        <v>0</v>
      </c>
      <c r="Q43" s="742">
        <f>industrie!P22</f>
        <v>0</v>
      </c>
      <c r="R43" s="817">
        <f t="shared" ca="1" si="4"/>
        <v>1511.8086303229672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6219.6452540797873</v>
      </c>
      <c r="D46" s="700">
        <f t="shared" ref="D46:Q46" ca="1" si="5">SUM(D39:D45)</f>
        <v>30.554621848739504</v>
      </c>
      <c r="E46" s="700">
        <f t="shared" ca="1" si="5"/>
        <v>8798.6464030252719</v>
      </c>
      <c r="F46" s="700">
        <f t="shared" si="5"/>
        <v>451.40936208241789</v>
      </c>
      <c r="G46" s="700">
        <f t="shared" ca="1" si="5"/>
        <v>10831.960554483747</v>
      </c>
      <c r="H46" s="700">
        <f t="shared" si="5"/>
        <v>0</v>
      </c>
      <c r="I46" s="700">
        <f t="shared" si="5"/>
        <v>0</v>
      </c>
      <c r="J46" s="700">
        <f t="shared" si="5"/>
        <v>0</v>
      </c>
      <c r="K46" s="700">
        <f t="shared" si="5"/>
        <v>64.79395463928077</v>
      </c>
      <c r="L46" s="700">
        <f t="shared" si="5"/>
        <v>0</v>
      </c>
      <c r="M46" s="700">
        <f t="shared" ca="1" si="5"/>
        <v>0</v>
      </c>
      <c r="N46" s="700">
        <f t="shared" si="5"/>
        <v>0</v>
      </c>
      <c r="O46" s="700">
        <f t="shared" ca="1" si="5"/>
        <v>0</v>
      </c>
      <c r="P46" s="700">
        <f t="shared" si="5"/>
        <v>0</v>
      </c>
      <c r="Q46" s="700">
        <f t="shared" si="5"/>
        <v>0</v>
      </c>
      <c r="R46" s="700">
        <f ca="1">SUM(R39:R45)</f>
        <v>26397.010150159247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3.8337448971129722</v>
      </c>
      <c r="D49" s="973">
        <f ca="1">transport!C58</f>
        <v>0</v>
      </c>
      <c r="E49" s="973">
        <f>transport!D58</f>
        <v>0</v>
      </c>
      <c r="F49" s="973">
        <f>transport!E58</f>
        <v>0</v>
      </c>
      <c r="G49" s="973">
        <f>transport!F58</f>
        <v>0</v>
      </c>
      <c r="H49" s="973">
        <f>transport!G58</f>
        <v>528.88022463042319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532.71396952753616</v>
      </c>
    </row>
    <row r="50" spans="1:18">
      <c r="A50" s="793" t="s">
        <v>301</v>
      </c>
      <c r="B50" s="803"/>
      <c r="C50" s="671">
        <f ca="1">transport!B18</f>
        <v>12.220041336292159</v>
      </c>
      <c r="D50" s="671">
        <f>transport!C18</f>
        <v>0</v>
      </c>
      <c r="E50" s="671">
        <f>transport!D18</f>
        <v>23.063696268850837</v>
      </c>
      <c r="F50" s="671">
        <f>transport!E18</f>
        <v>45.382872840604136</v>
      </c>
      <c r="G50" s="671">
        <f>transport!F18</f>
        <v>0</v>
      </c>
      <c r="H50" s="671">
        <f>transport!G18</f>
        <v>24305.086949255339</v>
      </c>
      <c r="I50" s="671">
        <f>transport!H18</f>
        <v>4582.6282537122443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28968.381813413333</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16.05378623340513</v>
      </c>
      <c r="D52" s="700">
        <f t="shared" ref="D52:Q52" ca="1" si="6">SUM(D48:D51)</f>
        <v>0</v>
      </c>
      <c r="E52" s="700">
        <f t="shared" si="6"/>
        <v>23.063696268850837</v>
      </c>
      <c r="F52" s="700">
        <f t="shared" si="6"/>
        <v>45.382872840604136</v>
      </c>
      <c r="G52" s="700">
        <f t="shared" si="6"/>
        <v>0</v>
      </c>
      <c r="H52" s="700">
        <f t="shared" si="6"/>
        <v>24833.967173885761</v>
      </c>
      <c r="I52" s="700">
        <f t="shared" si="6"/>
        <v>4582.6282537122443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29501.095782940869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109.04840001826312</v>
      </c>
      <c r="D54" s="671">
        <f ca="1">+landbouw!C12</f>
        <v>0</v>
      </c>
      <c r="E54" s="671">
        <f>+landbouw!D12</f>
        <v>3.1754513120000003</v>
      </c>
      <c r="F54" s="671">
        <f>+landbouw!E12</f>
        <v>4.001859441457964</v>
      </c>
      <c r="G54" s="671">
        <f>+landbouw!F12</f>
        <v>667.13872327294371</v>
      </c>
      <c r="H54" s="671">
        <f>+landbouw!G12</f>
        <v>0</v>
      </c>
      <c r="I54" s="671">
        <f>+landbouw!H12</f>
        <v>0</v>
      </c>
      <c r="J54" s="671">
        <f>+landbouw!I12</f>
        <v>0</v>
      </c>
      <c r="K54" s="671">
        <f>+landbouw!J12</f>
        <v>30.760864231281207</v>
      </c>
      <c r="L54" s="671">
        <f>+landbouw!K12</f>
        <v>0</v>
      </c>
      <c r="M54" s="671">
        <f>+landbouw!L12</f>
        <v>0</v>
      </c>
      <c r="N54" s="671">
        <f>+landbouw!M12</f>
        <v>0</v>
      </c>
      <c r="O54" s="671">
        <f>+landbouw!N12</f>
        <v>0</v>
      </c>
      <c r="P54" s="671">
        <f>+landbouw!O12</f>
        <v>0</v>
      </c>
      <c r="Q54" s="672">
        <f>+landbouw!P12</f>
        <v>0</v>
      </c>
      <c r="R54" s="699">
        <f ca="1">SUM(C54:Q54)</f>
        <v>814.12529827594597</v>
      </c>
    </row>
    <row r="55" spans="1:18" ht="15" thickBot="1">
      <c r="A55" s="793" t="s">
        <v>808</v>
      </c>
      <c r="B55" s="803"/>
      <c r="C55" s="671">
        <f ca="1">C25*'EF ele_warmte'!B12</f>
        <v>59.82903225069532</v>
      </c>
      <c r="D55" s="671"/>
      <c r="E55" s="671">
        <f>E25*EF_CO2_aardgas</f>
        <v>85.711145200000004</v>
      </c>
      <c r="F55" s="671"/>
      <c r="G55" s="671"/>
      <c r="H55" s="671"/>
      <c r="I55" s="671"/>
      <c r="J55" s="671"/>
      <c r="K55" s="671"/>
      <c r="L55" s="671"/>
      <c r="M55" s="671"/>
      <c r="N55" s="671"/>
      <c r="O55" s="671"/>
      <c r="P55" s="671"/>
      <c r="Q55" s="672"/>
      <c r="R55" s="699">
        <f ca="1">SUM(C55:Q55)</f>
        <v>145.54017745069532</v>
      </c>
    </row>
    <row r="56" spans="1:18" ht="15.75" thickBot="1">
      <c r="A56" s="791" t="s">
        <v>809</v>
      </c>
      <c r="B56" s="804"/>
      <c r="C56" s="700">
        <f ca="1">SUM(C54:C55)</f>
        <v>168.87743226895844</v>
      </c>
      <c r="D56" s="700">
        <f t="shared" ref="D56:Q56" ca="1" si="7">SUM(D54:D55)</f>
        <v>0</v>
      </c>
      <c r="E56" s="700">
        <f t="shared" si="7"/>
        <v>88.886596512000011</v>
      </c>
      <c r="F56" s="700">
        <f t="shared" si="7"/>
        <v>4.001859441457964</v>
      </c>
      <c r="G56" s="700">
        <f t="shared" si="7"/>
        <v>667.13872327294371</v>
      </c>
      <c r="H56" s="700">
        <f t="shared" si="7"/>
        <v>0</v>
      </c>
      <c r="I56" s="700">
        <f t="shared" si="7"/>
        <v>0</v>
      </c>
      <c r="J56" s="700">
        <f t="shared" si="7"/>
        <v>0</v>
      </c>
      <c r="K56" s="700">
        <f t="shared" si="7"/>
        <v>30.760864231281207</v>
      </c>
      <c r="L56" s="700">
        <f t="shared" si="7"/>
        <v>0</v>
      </c>
      <c r="M56" s="700">
        <f t="shared" si="7"/>
        <v>0</v>
      </c>
      <c r="N56" s="700">
        <f t="shared" si="7"/>
        <v>0</v>
      </c>
      <c r="O56" s="700">
        <f t="shared" si="7"/>
        <v>0</v>
      </c>
      <c r="P56" s="700">
        <f t="shared" si="7"/>
        <v>0</v>
      </c>
      <c r="Q56" s="701">
        <f t="shared" si="7"/>
        <v>0</v>
      </c>
      <c r="R56" s="702">
        <f ca="1">SUM(R54:R55)</f>
        <v>959.66547572664126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6404.5764725821509</v>
      </c>
      <c r="D61" s="708">
        <f t="shared" ref="D61:Q61" ca="1" si="8">D46+D52+D56</f>
        <v>30.554621848739504</v>
      </c>
      <c r="E61" s="708">
        <f t="shared" ca="1" si="8"/>
        <v>8910.5966958061235</v>
      </c>
      <c r="F61" s="708">
        <f t="shared" si="8"/>
        <v>500.79409436447997</v>
      </c>
      <c r="G61" s="708">
        <f t="shared" ca="1" si="8"/>
        <v>11499.09927775669</v>
      </c>
      <c r="H61" s="708">
        <f t="shared" si="8"/>
        <v>24833.967173885761</v>
      </c>
      <c r="I61" s="708">
        <f t="shared" si="8"/>
        <v>4582.6282537122443</v>
      </c>
      <c r="J61" s="708">
        <f t="shared" si="8"/>
        <v>0</v>
      </c>
      <c r="K61" s="708">
        <f t="shared" si="8"/>
        <v>95.554818870561974</v>
      </c>
      <c r="L61" s="708">
        <f t="shared" si="8"/>
        <v>0</v>
      </c>
      <c r="M61" s="708">
        <f t="shared" ca="1" si="8"/>
        <v>0</v>
      </c>
      <c r="N61" s="708">
        <f t="shared" si="8"/>
        <v>0</v>
      </c>
      <c r="O61" s="708">
        <f t="shared" ca="1" si="8"/>
        <v>0</v>
      </c>
      <c r="P61" s="708">
        <f t="shared" si="8"/>
        <v>0</v>
      </c>
      <c r="Q61" s="708">
        <f t="shared" si="8"/>
        <v>0</v>
      </c>
      <c r="R61" s="708">
        <f ca="1">R46+R52+R56</f>
        <v>56857.77140882676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0.1818143016315395</v>
      </c>
      <c r="D63" s="749">
        <f t="shared" ca="1" si="9"/>
        <v>0.23764705882352946</v>
      </c>
      <c r="E63" s="984">
        <f t="shared" ca="1" si="9"/>
        <v>0.20200000000000004</v>
      </c>
      <c r="F63" s="749">
        <f t="shared" si="9"/>
        <v>0.22699999999999998</v>
      </c>
      <c r="G63" s="749">
        <f t="shared" ca="1" si="9"/>
        <v>0.26699999999999996</v>
      </c>
      <c r="H63" s="749">
        <f t="shared" si="9"/>
        <v>0.26700000000000002</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6252.7176629344667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90</v>
      </c>
      <c r="D76" s="994">
        <f>'lokale energieproductie'!C8</f>
        <v>105.88235294117648</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21.388235294117649</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6252.7176629344667</v>
      </c>
      <c r="C78" s="723">
        <f>SUM(C72:C77)</f>
        <v>90</v>
      </c>
      <c r="D78" s="724">
        <f t="shared" ref="D78:H78" si="10">SUM(D76:D77)</f>
        <v>105.88235294117648</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21.388235294117649</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128.57142857142858</v>
      </c>
      <c r="D87" s="745">
        <f>'lokale energieproductie'!C17</f>
        <v>151.2605042016807</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30.554621848739504</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128.57142857142858</v>
      </c>
      <c r="D90" s="723">
        <f t="shared" ref="D90:H90" si="12">SUM(D87:D89)</f>
        <v>151.2605042016807</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30.554621848739504</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21789.940955898011</v>
      </c>
      <c r="C4" s="445">
        <f>huishoudens!C8</f>
        <v>0</v>
      </c>
      <c r="D4" s="445">
        <f>huishoudens!D8</f>
        <v>33873.001688900004</v>
      </c>
      <c r="E4" s="445">
        <f>huishoudens!E8</f>
        <v>1499.9488664668011</v>
      </c>
      <c r="F4" s="445">
        <f>huishoudens!F8</f>
        <v>38001.980726933616</v>
      </c>
      <c r="G4" s="445">
        <f>huishoudens!G8</f>
        <v>0</v>
      </c>
      <c r="H4" s="445">
        <f>huishoudens!H8</f>
        <v>0</v>
      </c>
      <c r="I4" s="445">
        <f>huishoudens!I8</f>
        <v>0</v>
      </c>
      <c r="J4" s="445">
        <f>huishoudens!J8</f>
        <v>182.86126777008647</v>
      </c>
      <c r="K4" s="445">
        <f>huishoudens!K8</f>
        <v>0</v>
      </c>
      <c r="L4" s="445">
        <f>huishoudens!L8</f>
        <v>0</v>
      </c>
      <c r="M4" s="445">
        <f>huishoudens!M8</f>
        <v>0</v>
      </c>
      <c r="N4" s="445">
        <f>huishoudens!N8</f>
        <v>7514.9390681754103</v>
      </c>
      <c r="O4" s="445">
        <f>huishoudens!O8</f>
        <v>384.58000000000004</v>
      </c>
      <c r="P4" s="446">
        <f>huishoudens!P8</f>
        <v>1296.5333333333333</v>
      </c>
      <c r="Q4" s="447">
        <f>SUM(B4:P4)</f>
        <v>104543.78590747729</v>
      </c>
    </row>
    <row r="5" spans="1:17">
      <c r="A5" s="444" t="s">
        <v>155</v>
      </c>
      <c r="B5" s="445">
        <f ca="1">tertiair!B16</f>
        <v>8232.504578</v>
      </c>
      <c r="C5" s="445">
        <f ca="1">tertiair!C16</f>
        <v>128.57142857142858</v>
      </c>
      <c r="D5" s="445">
        <f ca="1">tertiair!D16</f>
        <v>7156.628851057143</v>
      </c>
      <c r="E5" s="445">
        <f>tertiair!E16</f>
        <v>106.08446056424921</v>
      </c>
      <c r="F5" s="445">
        <f ca="1">tertiair!F16</f>
        <v>1405.0096434536292</v>
      </c>
      <c r="G5" s="445">
        <f>tertiair!G16</f>
        <v>0</v>
      </c>
      <c r="H5" s="445">
        <f>tertiair!H16</f>
        <v>0</v>
      </c>
      <c r="I5" s="445">
        <f>tertiair!I16</f>
        <v>0</v>
      </c>
      <c r="J5" s="445">
        <f>tertiair!J16</f>
        <v>1.9608569492784795E-2</v>
      </c>
      <c r="K5" s="445">
        <f>tertiair!K16</f>
        <v>0</v>
      </c>
      <c r="L5" s="445">
        <f ca="1">tertiair!L16</f>
        <v>0</v>
      </c>
      <c r="M5" s="445">
        <f>tertiair!M16</f>
        <v>0</v>
      </c>
      <c r="N5" s="445">
        <f ca="1">tertiair!N16</f>
        <v>797.66585248676313</v>
      </c>
      <c r="O5" s="445">
        <f>tertiair!O16</f>
        <v>1.5633333333333335</v>
      </c>
      <c r="P5" s="446">
        <f>tertiair!P16</f>
        <v>0</v>
      </c>
      <c r="Q5" s="444">
        <f t="shared" ref="Q5:Q14" ca="1" si="0">SUM(B5:P5)</f>
        <v>17828.047756036038</v>
      </c>
    </row>
    <row r="6" spans="1:17">
      <c r="A6" s="444" t="s">
        <v>193</v>
      </c>
      <c r="B6" s="445">
        <f>'openbare verlichting'!B8</f>
        <v>864.48500000000001</v>
      </c>
      <c r="C6" s="445"/>
      <c r="D6" s="445"/>
      <c r="E6" s="445"/>
      <c r="F6" s="445"/>
      <c r="G6" s="445"/>
      <c r="H6" s="445"/>
      <c r="I6" s="445"/>
      <c r="J6" s="445"/>
      <c r="K6" s="445"/>
      <c r="L6" s="445"/>
      <c r="M6" s="445"/>
      <c r="N6" s="445"/>
      <c r="O6" s="445"/>
      <c r="P6" s="446"/>
      <c r="Q6" s="444">
        <f t="shared" si="0"/>
        <v>864.48500000000001</v>
      </c>
    </row>
    <row r="7" spans="1:17">
      <c r="A7" s="444" t="s">
        <v>111</v>
      </c>
      <c r="B7" s="445">
        <f>landbouw!B8</f>
        <v>599.779</v>
      </c>
      <c r="C7" s="445">
        <f>landbouw!C8</f>
        <v>0</v>
      </c>
      <c r="D7" s="445">
        <f>landbouw!D8</f>
        <v>15.720056000000001</v>
      </c>
      <c r="E7" s="445">
        <f>landbouw!E8</f>
        <v>17.629336746510855</v>
      </c>
      <c r="F7" s="445">
        <f>landbouw!F8</f>
        <v>2498.6469036439839</v>
      </c>
      <c r="G7" s="445">
        <f>landbouw!G8</f>
        <v>0</v>
      </c>
      <c r="H7" s="445">
        <f>landbouw!H8</f>
        <v>0</v>
      </c>
      <c r="I7" s="445">
        <f>landbouw!I8</f>
        <v>0</v>
      </c>
      <c r="J7" s="445">
        <f>landbouw!J8</f>
        <v>86.895096698534488</v>
      </c>
      <c r="K7" s="445">
        <f>landbouw!K8</f>
        <v>0</v>
      </c>
      <c r="L7" s="445">
        <f>landbouw!L8</f>
        <v>0</v>
      </c>
      <c r="M7" s="445">
        <f>landbouw!M8</f>
        <v>0</v>
      </c>
      <c r="N7" s="445">
        <f>landbouw!N8</f>
        <v>0</v>
      </c>
      <c r="O7" s="445">
        <f>landbouw!O8</f>
        <v>0</v>
      </c>
      <c r="P7" s="446">
        <f>landbouw!P8</f>
        <v>0</v>
      </c>
      <c r="Q7" s="444">
        <f t="shared" si="0"/>
        <v>3218.6703930890294</v>
      </c>
    </row>
    <row r="8" spans="1:17">
      <c r="A8" s="444" t="s">
        <v>627</v>
      </c>
      <c r="B8" s="445">
        <f>industrie!B18</f>
        <v>3321.848414</v>
      </c>
      <c r="C8" s="445">
        <f>industrie!C18</f>
        <v>0</v>
      </c>
      <c r="D8" s="445">
        <f>industrie!D18</f>
        <v>2528.0249205640002</v>
      </c>
      <c r="E8" s="445">
        <f>industrie!E18</f>
        <v>382.55417112938079</v>
      </c>
      <c r="F8" s="445">
        <f>industrie!F18</f>
        <v>1162.150283109936</v>
      </c>
      <c r="G8" s="445">
        <f>industrie!G18</f>
        <v>0</v>
      </c>
      <c r="H8" s="445">
        <f>industrie!H18</f>
        <v>0</v>
      </c>
      <c r="I8" s="445">
        <f>industrie!I18</f>
        <v>0</v>
      </c>
      <c r="J8" s="445">
        <f>industrie!J18</f>
        <v>0.15289382788056941</v>
      </c>
      <c r="K8" s="445">
        <f>industrie!K18</f>
        <v>0</v>
      </c>
      <c r="L8" s="445">
        <f>industrie!L18</f>
        <v>0</v>
      </c>
      <c r="M8" s="445">
        <f>industrie!M18</f>
        <v>0</v>
      </c>
      <c r="N8" s="445">
        <f>industrie!N18</f>
        <v>145.92990792748159</v>
      </c>
      <c r="O8" s="445">
        <f>industrie!O18</f>
        <v>0</v>
      </c>
      <c r="P8" s="446">
        <f>industrie!P18</f>
        <v>0</v>
      </c>
      <c r="Q8" s="444">
        <f t="shared" si="0"/>
        <v>7540.6605905586794</v>
      </c>
    </row>
    <row r="9" spans="1:17" s="450" customFormat="1">
      <c r="A9" s="448" t="s">
        <v>553</v>
      </c>
      <c r="B9" s="449">
        <f>transport!B14</f>
        <v>67.211661715462853</v>
      </c>
      <c r="C9" s="449">
        <f>transport!C14</f>
        <v>0</v>
      </c>
      <c r="D9" s="449">
        <f>transport!D14</f>
        <v>114.17671420223186</v>
      </c>
      <c r="E9" s="449">
        <f>transport!E14</f>
        <v>199.92454995860854</v>
      </c>
      <c r="F9" s="449">
        <f>transport!F14</f>
        <v>0</v>
      </c>
      <c r="G9" s="449">
        <f>transport!G14</f>
        <v>91030.288199458199</v>
      </c>
      <c r="H9" s="449">
        <f>transport!H14</f>
        <v>18404.1295329809</v>
      </c>
      <c r="I9" s="449">
        <f>transport!I14</f>
        <v>0</v>
      </c>
      <c r="J9" s="449">
        <f>transport!J14</f>
        <v>0</v>
      </c>
      <c r="K9" s="449">
        <f>transport!K14</f>
        <v>0</v>
      </c>
      <c r="L9" s="449">
        <f>transport!L14</f>
        <v>0</v>
      </c>
      <c r="M9" s="449">
        <f>transport!M14</f>
        <v>5860.3055312622537</v>
      </c>
      <c r="N9" s="449">
        <f>transport!N14</f>
        <v>0</v>
      </c>
      <c r="O9" s="449">
        <f>transport!O14</f>
        <v>0</v>
      </c>
      <c r="P9" s="449">
        <f>transport!P14</f>
        <v>0</v>
      </c>
      <c r="Q9" s="448">
        <f>SUM(B9:P9)</f>
        <v>115676.03618957767</v>
      </c>
    </row>
    <row r="10" spans="1:17">
      <c r="A10" s="444" t="s">
        <v>543</v>
      </c>
      <c r="B10" s="445">
        <f>transport!B54</f>
        <v>21.086046932008394</v>
      </c>
      <c r="C10" s="445">
        <f>transport!C54</f>
        <v>0</v>
      </c>
      <c r="D10" s="445">
        <f>transport!D54</f>
        <v>0</v>
      </c>
      <c r="E10" s="445">
        <f>transport!E54</f>
        <v>0</v>
      </c>
      <c r="F10" s="445">
        <f>transport!F54</f>
        <v>0</v>
      </c>
      <c r="G10" s="445">
        <f>transport!G54</f>
        <v>1980.8248113498994</v>
      </c>
      <c r="H10" s="445">
        <f>transport!H54</f>
        <v>0</v>
      </c>
      <c r="I10" s="445">
        <f>transport!I54</f>
        <v>0</v>
      </c>
      <c r="J10" s="445">
        <f>transport!J54</f>
        <v>0</v>
      </c>
      <c r="K10" s="445">
        <f>transport!K54</f>
        <v>0</v>
      </c>
      <c r="L10" s="445">
        <f>transport!L54</f>
        <v>0</v>
      </c>
      <c r="M10" s="445">
        <f>transport!M54</f>
        <v>114.06975342739999</v>
      </c>
      <c r="N10" s="445">
        <f>transport!N54</f>
        <v>0</v>
      </c>
      <c r="O10" s="445">
        <f>transport!O54</f>
        <v>0</v>
      </c>
      <c r="P10" s="446">
        <f>transport!P54</f>
        <v>0</v>
      </c>
      <c r="Q10" s="444">
        <f t="shared" si="0"/>
        <v>2115.9806117093081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329.06670000000003</v>
      </c>
      <c r="C14" s="452"/>
      <c r="D14" s="452">
        <f>'SEAP template'!E25</f>
        <v>424.31259999999997</v>
      </c>
      <c r="E14" s="452"/>
      <c r="F14" s="452"/>
      <c r="G14" s="452"/>
      <c r="H14" s="452"/>
      <c r="I14" s="452"/>
      <c r="J14" s="452"/>
      <c r="K14" s="452"/>
      <c r="L14" s="452"/>
      <c r="M14" s="452"/>
      <c r="N14" s="452"/>
      <c r="O14" s="452"/>
      <c r="P14" s="453"/>
      <c r="Q14" s="444">
        <f t="shared" si="0"/>
        <v>753.37930000000006</v>
      </c>
    </row>
    <row r="15" spans="1:17" s="454" customFormat="1">
      <c r="A15" s="999" t="s">
        <v>547</v>
      </c>
      <c r="B15" s="947">
        <f ca="1">SUM(B4:B14)</f>
        <v>35225.922356545481</v>
      </c>
      <c r="C15" s="947">
        <f t="shared" ref="C15:Q15" ca="1" si="1">SUM(C4:C14)</f>
        <v>128.57142857142858</v>
      </c>
      <c r="D15" s="947">
        <f t="shared" ca="1" si="1"/>
        <v>44111.864830723367</v>
      </c>
      <c r="E15" s="947">
        <f t="shared" si="1"/>
        <v>2206.1413848655507</v>
      </c>
      <c r="F15" s="947">
        <f t="shared" ca="1" si="1"/>
        <v>43067.787557141164</v>
      </c>
      <c r="G15" s="947">
        <f t="shared" si="1"/>
        <v>93011.113010808098</v>
      </c>
      <c r="H15" s="947">
        <f t="shared" si="1"/>
        <v>18404.1295329809</v>
      </c>
      <c r="I15" s="947">
        <f t="shared" si="1"/>
        <v>0</v>
      </c>
      <c r="J15" s="947">
        <f t="shared" si="1"/>
        <v>269.92886686599434</v>
      </c>
      <c r="K15" s="947">
        <f t="shared" si="1"/>
        <v>0</v>
      </c>
      <c r="L15" s="947">
        <f t="shared" ca="1" si="1"/>
        <v>0</v>
      </c>
      <c r="M15" s="947">
        <f t="shared" si="1"/>
        <v>5974.3752846896541</v>
      </c>
      <c r="N15" s="947">
        <f t="shared" ca="1" si="1"/>
        <v>8458.5348285896562</v>
      </c>
      <c r="O15" s="947">
        <f t="shared" si="1"/>
        <v>386.14333333333337</v>
      </c>
      <c r="P15" s="947">
        <f t="shared" si="1"/>
        <v>1296.5333333333333</v>
      </c>
      <c r="Q15" s="947">
        <f t="shared" ca="1" si="1"/>
        <v>252541.04574844803</v>
      </c>
    </row>
    <row r="17" spans="1:17">
      <c r="A17" s="455" t="s">
        <v>548</v>
      </c>
      <c r="B17" s="754">
        <f ca="1">huishoudens!B10</f>
        <v>0.1818143016315395</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3961.7228974890772</v>
      </c>
      <c r="C22" s="445">
        <f t="shared" ref="C22:C32" ca="1" si="3">C4*$C$17</f>
        <v>0</v>
      </c>
      <c r="D22" s="445">
        <f t="shared" ref="D22:D32" si="4">D4*$D$17</f>
        <v>6842.3463411578014</v>
      </c>
      <c r="E22" s="445">
        <f t="shared" ref="E22:E32" si="5">E4*$E$17</f>
        <v>340.48839268796388</v>
      </c>
      <c r="F22" s="445">
        <f t="shared" ref="F22:F32" si="6">F4*$F$17</f>
        <v>10146.528854091275</v>
      </c>
      <c r="G22" s="445">
        <f t="shared" ref="G22:G32" si="7">G4*$G$17</f>
        <v>0</v>
      </c>
      <c r="H22" s="445">
        <f t="shared" ref="H22:H32" si="8">H4*$H$17</f>
        <v>0</v>
      </c>
      <c r="I22" s="445">
        <f t="shared" ref="I22:I32" si="9">I4*$I$17</f>
        <v>0</v>
      </c>
      <c r="J22" s="445">
        <f t="shared" ref="J22:J32" si="10">J4*$J$17</f>
        <v>64.732888790610602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21355.819374216728</v>
      </c>
    </row>
    <row r="23" spans="1:17">
      <c r="A23" s="444" t="s">
        <v>155</v>
      </c>
      <c r="B23" s="445">
        <f t="shared" ca="1" si="2"/>
        <v>1496.7870705275218</v>
      </c>
      <c r="C23" s="445">
        <f t="shared" ca="1" si="3"/>
        <v>30.554621848739504</v>
      </c>
      <c r="D23" s="445">
        <f t="shared" ca="1" si="4"/>
        <v>1445.639027913543</v>
      </c>
      <c r="E23" s="445">
        <f t="shared" si="5"/>
        <v>24.081172548084574</v>
      </c>
      <c r="F23" s="445">
        <f t="shared" ca="1" si="6"/>
        <v>375.13757480211905</v>
      </c>
      <c r="G23" s="445">
        <f t="shared" si="7"/>
        <v>0</v>
      </c>
      <c r="H23" s="445">
        <f t="shared" si="8"/>
        <v>0</v>
      </c>
      <c r="I23" s="445">
        <f t="shared" si="9"/>
        <v>0</v>
      </c>
      <c r="J23" s="445">
        <f t="shared" si="10"/>
        <v>6.9414336004458167E-3</v>
      </c>
      <c r="K23" s="445">
        <f t="shared" si="11"/>
        <v>0</v>
      </c>
      <c r="L23" s="445">
        <f t="shared" ca="1" si="12"/>
        <v>0</v>
      </c>
      <c r="M23" s="445">
        <f t="shared" si="13"/>
        <v>0</v>
      </c>
      <c r="N23" s="445">
        <f t="shared" ca="1" si="14"/>
        <v>0</v>
      </c>
      <c r="O23" s="445">
        <f t="shared" si="15"/>
        <v>0</v>
      </c>
      <c r="P23" s="446">
        <f t="shared" si="16"/>
        <v>0</v>
      </c>
      <c r="Q23" s="444">
        <f t="shared" ref="Q23:Q32" ca="1" si="17">SUM(B23:P23)</f>
        <v>3372.2064090736085</v>
      </c>
    </row>
    <row r="24" spans="1:17">
      <c r="A24" s="444" t="s">
        <v>193</v>
      </c>
      <c r="B24" s="445">
        <f t="shared" ca="1" si="2"/>
        <v>157.17573654594142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157.17573654594142</v>
      </c>
    </row>
    <row r="25" spans="1:17">
      <c r="A25" s="444" t="s">
        <v>111</v>
      </c>
      <c r="B25" s="445">
        <f t="shared" ca="1" si="2"/>
        <v>109.04840001826312</v>
      </c>
      <c r="C25" s="445">
        <f t="shared" ca="1" si="3"/>
        <v>0</v>
      </c>
      <c r="D25" s="445">
        <f t="shared" si="4"/>
        <v>3.1754513120000003</v>
      </c>
      <c r="E25" s="445">
        <f t="shared" si="5"/>
        <v>4.001859441457964</v>
      </c>
      <c r="F25" s="445">
        <f t="shared" si="6"/>
        <v>667.13872327294371</v>
      </c>
      <c r="G25" s="445">
        <f t="shared" si="7"/>
        <v>0</v>
      </c>
      <c r="H25" s="445">
        <f t="shared" si="8"/>
        <v>0</v>
      </c>
      <c r="I25" s="445">
        <f t="shared" si="9"/>
        <v>0</v>
      </c>
      <c r="J25" s="445">
        <f t="shared" si="10"/>
        <v>30.760864231281207</v>
      </c>
      <c r="K25" s="445">
        <f t="shared" si="11"/>
        <v>0</v>
      </c>
      <c r="L25" s="445">
        <f t="shared" si="12"/>
        <v>0</v>
      </c>
      <c r="M25" s="445">
        <f t="shared" si="13"/>
        <v>0</v>
      </c>
      <c r="N25" s="445">
        <f t="shared" si="14"/>
        <v>0</v>
      </c>
      <c r="O25" s="445">
        <f t="shared" si="15"/>
        <v>0</v>
      </c>
      <c r="P25" s="446">
        <f t="shared" si="16"/>
        <v>0</v>
      </c>
      <c r="Q25" s="444">
        <f t="shared" ca="1" si="17"/>
        <v>814.12529827594597</v>
      </c>
    </row>
    <row r="26" spans="1:17">
      <c r="A26" s="444" t="s">
        <v>627</v>
      </c>
      <c r="B26" s="445">
        <f t="shared" ca="1" si="2"/>
        <v>603.95954951724707</v>
      </c>
      <c r="C26" s="445">
        <f t="shared" ca="1" si="3"/>
        <v>0</v>
      </c>
      <c r="D26" s="445">
        <f t="shared" si="4"/>
        <v>510.6610339539281</v>
      </c>
      <c r="E26" s="445">
        <f t="shared" si="5"/>
        <v>86.839796846369438</v>
      </c>
      <c r="F26" s="445">
        <f t="shared" si="6"/>
        <v>310.29412559035296</v>
      </c>
      <c r="G26" s="445">
        <f t="shared" si="7"/>
        <v>0</v>
      </c>
      <c r="H26" s="445">
        <f t="shared" si="8"/>
        <v>0</v>
      </c>
      <c r="I26" s="445">
        <f t="shared" si="9"/>
        <v>0</v>
      </c>
      <c r="J26" s="445">
        <f t="shared" si="10"/>
        <v>5.4124415069721564E-2</v>
      </c>
      <c r="K26" s="445">
        <f t="shared" si="11"/>
        <v>0</v>
      </c>
      <c r="L26" s="445">
        <f t="shared" si="12"/>
        <v>0</v>
      </c>
      <c r="M26" s="445">
        <f t="shared" si="13"/>
        <v>0</v>
      </c>
      <c r="N26" s="445">
        <f t="shared" si="14"/>
        <v>0</v>
      </c>
      <c r="O26" s="445">
        <f t="shared" si="15"/>
        <v>0</v>
      </c>
      <c r="P26" s="446">
        <f t="shared" si="16"/>
        <v>0</v>
      </c>
      <c r="Q26" s="444">
        <f t="shared" ca="1" si="17"/>
        <v>1511.8086303229672</v>
      </c>
    </row>
    <row r="27" spans="1:17" s="450" customFormat="1">
      <c r="A27" s="448" t="s">
        <v>553</v>
      </c>
      <c r="B27" s="748">
        <f t="shared" ca="1" si="2"/>
        <v>12.220041336292159</v>
      </c>
      <c r="C27" s="449">
        <f t="shared" ca="1" si="3"/>
        <v>0</v>
      </c>
      <c r="D27" s="449">
        <f t="shared" si="4"/>
        <v>23.063696268850837</v>
      </c>
      <c r="E27" s="449">
        <f t="shared" si="5"/>
        <v>45.382872840604136</v>
      </c>
      <c r="F27" s="449">
        <f t="shared" si="6"/>
        <v>0</v>
      </c>
      <c r="G27" s="449">
        <f t="shared" si="7"/>
        <v>24305.086949255339</v>
      </c>
      <c r="H27" s="449">
        <f t="shared" si="8"/>
        <v>4582.6282537122443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28968.381813413333</v>
      </c>
    </row>
    <row r="28" spans="1:17">
      <c r="A28" s="444" t="s">
        <v>543</v>
      </c>
      <c r="B28" s="445">
        <f t="shared" ca="1" si="2"/>
        <v>3.8337448971129722</v>
      </c>
      <c r="C28" s="445">
        <f t="shared" ca="1" si="3"/>
        <v>0</v>
      </c>
      <c r="D28" s="445">
        <f t="shared" si="4"/>
        <v>0</v>
      </c>
      <c r="E28" s="445">
        <f t="shared" si="5"/>
        <v>0</v>
      </c>
      <c r="F28" s="445">
        <f t="shared" si="6"/>
        <v>0</v>
      </c>
      <c r="G28" s="445">
        <f t="shared" si="7"/>
        <v>528.88022463042319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532.71396952753616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59.82903225069532</v>
      </c>
      <c r="C32" s="445">
        <f t="shared" ca="1" si="3"/>
        <v>0</v>
      </c>
      <c r="D32" s="445">
        <f t="shared" si="4"/>
        <v>85.711145200000004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145.54017745069532</v>
      </c>
    </row>
    <row r="33" spans="1:17" s="454" customFormat="1">
      <c r="A33" s="999" t="s">
        <v>547</v>
      </c>
      <c r="B33" s="947">
        <f ca="1">SUM(B22:B32)</f>
        <v>6404.5764725821518</v>
      </c>
      <c r="C33" s="947">
        <f t="shared" ref="C33:Q33" ca="1" si="18">SUM(C22:C32)</f>
        <v>30.554621848739504</v>
      </c>
      <c r="D33" s="947">
        <f t="shared" ca="1" si="18"/>
        <v>8910.5966958061235</v>
      </c>
      <c r="E33" s="947">
        <f t="shared" si="18"/>
        <v>500.79409436447997</v>
      </c>
      <c r="F33" s="947">
        <f t="shared" ca="1" si="18"/>
        <v>11499.09927775669</v>
      </c>
      <c r="G33" s="947">
        <f t="shared" si="18"/>
        <v>24833.967173885761</v>
      </c>
      <c r="H33" s="947">
        <f t="shared" si="18"/>
        <v>4582.6282537122443</v>
      </c>
      <c r="I33" s="947">
        <f t="shared" si="18"/>
        <v>0</v>
      </c>
      <c r="J33" s="947">
        <f t="shared" si="18"/>
        <v>95.554818870561974</v>
      </c>
      <c r="K33" s="947">
        <f t="shared" si="18"/>
        <v>0</v>
      </c>
      <c r="L33" s="947">
        <f t="shared" ca="1" si="18"/>
        <v>0</v>
      </c>
      <c r="M33" s="947">
        <f t="shared" si="18"/>
        <v>0</v>
      </c>
      <c r="N33" s="947">
        <f t="shared" ca="1" si="18"/>
        <v>0</v>
      </c>
      <c r="O33" s="947">
        <f t="shared" si="18"/>
        <v>0</v>
      </c>
      <c r="P33" s="947">
        <f t="shared" si="18"/>
        <v>0</v>
      </c>
      <c r="Q33" s="947">
        <f t="shared" ca="1" si="18"/>
        <v>56857.771408826753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6252.7176629344667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90</v>
      </c>
      <c r="D8" s="1016">
        <f>'SEAP template'!D76</f>
        <v>105.88235294117648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21.388235294117649</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6252.7176629344667</v>
      </c>
      <c r="C10" s="1020">
        <f>SUM(C4:C9)</f>
        <v>90</v>
      </c>
      <c r="D10" s="1020">
        <f t="shared" ref="D10:H10" si="0">SUM(D8:D9)</f>
        <v>105.88235294117648</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21.388235294117649</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0.1818143016315395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128.57142857142858</v>
      </c>
      <c r="D17" s="1017">
        <f>'SEAP template'!D87</f>
        <v>151.2605042016807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30.554621848739504</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128.57142857142858</v>
      </c>
      <c r="D20" s="1020">
        <f t="shared" ref="D20:H20" si="2">SUM(D17:D19)</f>
        <v>151.2605042016807</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30.554621848739504</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0.1818143016315395</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0.1818143016315395</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0.1818143016315395</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4921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1952.99</v>
      </c>
      <c r="C14" s="324"/>
      <c r="D14" s="324"/>
      <c r="E14" s="324"/>
      <c r="F14" s="324"/>
    </row>
    <row r="15" spans="1:6">
      <c r="A15" s="1291" t="s">
        <v>183</v>
      </c>
      <c r="B15" s="1292">
        <v>12</v>
      </c>
      <c r="C15" s="324"/>
      <c r="D15" s="324"/>
      <c r="E15" s="324"/>
      <c r="F15" s="324"/>
    </row>
    <row r="16" spans="1:6">
      <c r="A16" s="1291" t="s">
        <v>6</v>
      </c>
      <c r="B16" s="1292">
        <v>553</v>
      </c>
      <c r="C16" s="324"/>
      <c r="D16" s="324"/>
      <c r="E16" s="324"/>
      <c r="F16" s="324"/>
    </row>
    <row r="17" spans="1:6">
      <c r="A17" s="1291" t="s">
        <v>7</v>
      </c>
      <c r="B17" s="1292">
        <v>119</v>
      </c>
      <c r="C17" s="324"/>
      <c r="D17" s="324"/>
      <c r="E17" s="324"/>
      <c r="F17" s="324"/>
    </row>
    <row r="18" spans="1:6">
      <c r="A18" s="1291" t="s">
        <v>8</v>
      </c>
      <c r="B18" s="1292">
        <v>257</v>
      </c>
      <c r="C18" s="324"/>
      <c r="D18" s="324"/>
      <c r="E18" s="324"/>
      <c r="F18" s="324"/>
    </row>
    <row r="19" spans="1:6">
      <c r="A19" s="1291" t="s">
        <v>9</v>
      </c>
      <c r="B19" s="1292">
        <v>191</v>
      </c>
      <c r="C19" s="324"/>
      <c r="D19" s="324"/>
      <c r="E19" s="324"/>
      <c r="F19" s="324"/>
    </row>
    <row r="20" spans="1:6">
      <c r="A20" s="1291" t="s">
        <v>10</v>
      </c>
      <c r="B20" s="1292">
        <v>232</v>
      </c>
      <c r="C20" s="324"/>
      <c r="D20" s="324"/>
      <c r="E20" s="324"/>
      <c r="F20" s="324"/>
    </row>
    <row r="21" spans="1:6">
      <c r="A21" s="1291" t="s">
        <v>11</v>
      </c>
      <c r="B21" s="1292">
        <v>1417</v>
      </c>
      <c r="C21" s="324"/>
      <c r="D21" s="324"/>
      <c r="E21" s="324"/>
      <c r="F21" s="324"/>
    </row>
    <row r="22" spans="1:6">
      <c r="A22" s="1291" t="s">
        <v>12</v>
      </c>
      <c r="B22" s="1292">
        <v>2670</v>
      </c>
      <c r="C22" s="324"/>
      <c r="D22" s="324"/>
      <c r="E22" s="324"/>
      <c r="F22" s="324"/>
    </row>
    <row r="23" spans="1:6">
      <c r="A23" s="1291" t="s">
        <v>13</v>
      </c>
      <c r="B23" s="1292">
        <v>75</v>
      </c>
      <c r="C23" s="324"/>
      <c r="D23" s="324"/>
      <c r="E23" s="324"/>
      <c r="F23" s="324"/>
    </row>
    <row r="24" spans="1:6">
      <c r="A24" s="1291" t="s">
        <v>14</v>
      </c>
      <c r="B24" s="1292">
        <v>2</v>
      </c>
      <c r="C24" s="324"/>
      <c r="D24" s="324"/>
      <c r="E24" s="324"/>
      <c r="F24" s="324"/>
    </row>
    <row r="25" spans="1:6">
      <c r="A25" s="1291" t="s">
        <v>15</v>
      </c>
      <c r="B25" s="1292">
        <v>307</v>
      </c>
      <c r="C25" s="324"/>
      <c r="D25" s="324"/>
      <c r="E25" s="324"/>
      <c r="F25" s="324"/>
    </row>
    <row r="26" spans="1:6">
      <c r="A26" s="1291" t="s">
        <v>16</v>
      </c>
      <c r="B26" s="1292">
        <v>4</v>
      </c>
      <c r="C26" s="324"/>
      <c r="D26" s="324"/>
      <c r="E26" s="324"/>
      <c r="F26" s="324"/>
    </row>
    <row r="27" spans="1:6">
      <c r="A27" s="1291" t="s">
        <v>17</v>
      </c>
      <c r="B27" s="1292">
        <v>0</v>
      </c>
      <c r="C27" s="324"/>
      <c r="D27" s="324"/>
      <c r="E27" s="324"/>
      <c r="F27" s="324"/>
    </row>
    <row r="28" spans="1:6" s="43" customFormat="1">
      <c r="A28" s="1293" t="s">
        <v>18</v>
      </c>
      <c r="B28" s="1294">
        <v>49750</v>
      </c>
      <c r="C28" s="330"/>
      <c r="D28" s="330"/>
      <c r="E28" s="330"/>
      <c r="F28" s="330"/>
    </row>
    <row r="29" spans="1:6">
      <c r="A29" s="1293" t="s">
        <v>722</v>
      </c>
      <c r="B29" s="1294">
        <v>155</v>
      </c>
      <c r="C29" s="330"/>
      <c r="D29" s="330"/>
      <c r="E29" s="330"/>
      <c r="F29" s="330"/>
    </row>
    <row r="30" spans="1:6">
      <c r="A30" s="1286" t="s">
        <v>723</v>
      </c>
      <c r="B30" s="1295">
        <v>19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43769</v>
      </c>
    </row>
    <row r="36" spans="1:6">
      <c r="A36" s="1291" t="s">
        <v>24</v>
      </c>
      <c r="B36" s="1291" t="s">
        <v>26</v>
      </c>
      <c r="C36" s="1292">
        <v>0</v>
      </c>
      <c r="D36" s="1292">
        <v>0</v>
      </c>
      <c r="E36" s="1292">
        <v>3</v>
      </c>
      <c r="F36" s="1292">
        <v>3085</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2394</v>
      </c>
      <c r="D39" s="1292">
        <v>37553216.950000003</v>
      </c>
      <c r="E39" s="1292">
        <v>4924</v>
      </c>
      <c r="F39" s="1292">
        <v>16797307.199999999</v>
      </c>
    </row>
    <row r="40" spans="1:6">
      <c r="A40" s="1291" t="s">
        <v>29</v>
      </c>
      <c r="B40" s="1291" t="s">
        <v>28</v>
      </c>
      <c r="C40" s="1292">
        <v>0</v>
      </c>
      <c r="D40" s="1292">
        <v>0</v>
      </c>
      <c r="E40" s="1292">
        <v>0</v>
      </c>
      <c r="F40" s="1292">
        <v>0</v>
      </c>
    </row>
    <row r="41" spans="1:6">
      <c r="A41" s="1291" t="s">
        <v>31</v>
      </c>
      <c r="B41" s="1291" t="s">
        <v>32</v>
      </c>
      <c r="C41" s="1292">
        <v>51</v>
      </c>
      <c r="D41" s="1292">
        <v>872796.2</v>
      </c>
      <c r="E41" s="1292">
        <v>115</v>
      </c>
      <c r="F41" s="1292">
        <v>1258099.1499999999</v>
      </c>
    </row>
    <row r="42" spans="1:6">
      <c r="A42" s="1291" t="s">
        <v>31</v>
      </c>
      <c r="B42" s="1291" t="s">
        <v>33</v>
      </c>
      <c r="C42" s="1292">
        <v>0</v>
      </c>
      <c r="D42" s="1292">
        <v>0</v>
      </c>
      <c r="E42" s="1292">
        <v>0</v>
      </c>
      <c r="F42" s="1292">
        <v>0</v>
      </c>
    </row>
    <row r="43" spans="1:6">
      <c r="A43" s="1291" t="s">
        <v>31</v>
      </c>
      <c r="B43" s="1291" t="s">
        <v>34</v>
      </c>
      <c r="C43" s="1292">
        <v>0</v>
      </c>
      <c r="D43" s="1292">
        <v>0</v>
      </c>
      <c r="E43" s="1292">
        <v>3</v>
      </c>
      <c r="F43" s="1292">
        <v>376778.55</v>
      </c>
    </row>
    <row r="44" spans="1:6">
      <c r="A44" s="1291" t="s">
        <v>31</v>
      </c>
      <c r="B44" s="1291" t="s">
        <v>35</v>
      </c>
      <c r="C44" s="1292">
        <v>7</v>
      </c>
      <c r="D44" s="1292">
        <v>1767126.182</v>
      </c>
      <c r="E44" s="1292">
        <v>32</v>
      </c>
      <c r="F44" s="1292">
        <v>1264483.7139999999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v>
      </c>
      <c r="D48" s="1292">
        <v>27808</v>
      </c>
      <c r="E48" s="1292">
        <v>6</v>
      </c>
      <c r="F48" s="1292">
        <v>42708</v>
      </c>
    </row>
    <row r="49" spans="1:6">
      <c r="A49" s="1291" t="s">
        <v>31</v>
      </c>
      <c r="B49" s="1291" t="s">
        <v>39</v>
      </c>
      <c r="C49" s="1292">
        <v>0</v>
      </c>
      <c r="D49" s="1292">
        <v>0</v>
      </c>
      <c r="E49" s="1292">
        <v>0</v>
      </c>
      <c r="F49" s="1292">
        <v>0</v>
      </c>
    </row>
    <row r="50" spans="1:6">
      <c r="A50" s="1291" t="s">
        <v>31</v>
      </c>
      <c r="B50" s="1291" t="s">
        <v>40</v>
      </c>
      <c r="C50" s="1292">
        <v>5</v>
      </c>
      <c r="D50" s="1292">
        <v>134958</v>
      </c>
      <c r="E50" s="1292">
        <v>10</v>
      </c>
      <c r="F50" s="1292">
        <v>379779</v>
      </c>
    </row>
    <row r="51" spans="1:6">
      <c r="A51" s="1291" t="s">
        <v>41</v>
      </c>
      <c r="B51" s="1291" t="s">
        <v>42</v>
      </c>
      <c r="C51" s="1292">
        <v>0</v>
      </c>
      <c r="D51" s="1292">
        <v>0</v>
      </c>
      <c r="E51" s="1292">
        <v>27</v>
      </c>
      <c r="F51" s="1292">
        <v>599779</v>
      </c>
    </row>
    <row r="52" spans="1:6">
      <c r="A52" s="1291" t="s">
        <v>41</v>
      </c>
      <c r="B52" s="1291" t="s">
        <v>28</v>
      </c>
      <c r="C52" s="1292">
        <v>1</v>
      </c>
      <c r="D52" s="1292">
        <v>17428</v>
      </c>
      <c r="E52" s="1292">
        <v>0</v>
      </c>
      <c r="F52" s="1292">
        <v>0</v>
      </c>
    </row>
    <row r="53" spans="1:6">
      <c r="A53" s="1291" t="s">
        <v>43</v>
      </c>
      <c r="B53" s="1291" t="s">
        <v>44</v>
      </c>
      <c r="C53" s="1292">
        <v>23</v>
      </c>
      <c r="D53" s="1292">
        <v>424312.6</v>
      </c>
      <c r="E53" s="1292">
        <v>74</v>
      </c>
      <c r="F53" s="1292">
        <v>329066.7</v>
      </c>
    </row>
    <row r="54" spans="1:6">
      <c r="A54" s="1291" t="s">
        <v>45</v>
      </c>
      <c r="B54" s="1291" t="s">
        <v>46</v>
      </c>
      <c r="C54" s="1292">
        <v>0</v>
      </c>
      <c r="D54" s="1292">
        <v>0</v>
      </c>
      <c r="E54" s="1292">
        <v>3</v>
      </c>
      <c r="F54" s="1292">
        <v>864485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26</v>
      </c>
      <c r="D57" s="1292">
        <v>395517.6</v>
      </c>
      <c r="E57" s="1292">
        <v>54</v>
      </c>
      <c r="F57" s="1292">
        <v>903367.6</v>
      </c>
    </row>
    <row r="58" spans="1:6">
      <c r="A58" s="1291" t="s">
        <v>48</v>
      </c>
      <c r="B58" s="1291" t="s">
        <v>50</v>
      </c>
      <c r="C58" s="1292">
        <v>18</v>
      </c>
      <c r="D58" s="1292">
        <v>1427265</v>
      </c>
      <c r="E58" s="1292">
        <v>35</v>
      </c>
      <c r="F58" s="1292">
        <v>1562887.3149999999</v>
      </c>
    </row>
    <row r="59" spans="1:6">
      <c r="A59" s="1291" t="s">
        <v>48</v>
      </c>
      <c r="B59" s="1291" t="s">
        <v>51</v>
      </c>
      <c r="C59" s="1292">
        <v>41</v>
      </c>
      <c r="D59" s="1292">
        <v>980980.9</v>
      </c>
      <c r="E59" s="1292">
        <v>116</v>
      </c>
      <c r="F59" s="1292">
        <v>2347032.6669999999</v>
      </c>
    </row>
    <row r="60" spans="1:6">
      <c r="A60" s="1291" t="s">
        <v>48</v>
      </c>
      <c r="B60" s="1291" t="s">
        <v>52</v>
      </c>
      <c r="C60" s="1292">
        <v>21</v>
      </c>
      <c r="D60" s="1292">
        <v>1039206</v>
      </c>
      <c r="E60" s="1292">
        <v>50</v>
      </c>
      <c r="F60" s="1292">
        <v>1026341.323</v>
      </c>
    </row>
    <row r="61" spans="1:6">
      <c r="A61" s="1291" t="s">
        <v>48</v>
      </c>
      <c r="B61" s="1291" t="s">
        <v>53</v>
      </c>
      <c r="C61" s="1292">
        <v>76</v>
      </c>
      <c r="D61" s="1292">
        <v>2881919.6</v>
      </c>
      <c r="E61" s="1292">
        <v>179</v>
      </c>
      <c r="F61" s="1292">
        <v>1966598.673</v>
      </c>
    </row>
    <row r="62" spans="1:6">
      <c r="A62" s="1291" t="s">
        <v>48</v>
      </c>
      <c r="B62" s="1291" t="s">
        <v>54</v>
      </c>
      <c r="C62" s="1292">
        <v>8</v>
      </c>
      <c r="D62" s="1292">
        <v>1494370</v>
      </c>
      <c r="E62" s="1292">
        <v>9</v>
      </c>
      <c r="F62" s="1292">
        <v>336277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4</v>
      </c>
      <c r="D65" s="1292">
        <v>93008</v>
      </c>
      <c r="E65" s="1292">
        <v>1</v>
      </c>
      <c r="F65" s="1292">
        <v>627</v>
      </c>
    </row>
    <row r="66" spans="1:6">
      <c r="A66" s="1291" t="s">
        <v>55</v>
      </c>
      <c r="B66" s="1291" t="s">
        <v>57</v>
      </c>
      <c r="C66" s="1292">
        <v>0</v>
      </c>
      <c r="D66" s="1292">
        <v>0</v>
      </c>
      <c r="E66" s="1292">
        <v>15</v>
      </c>
      <c r="F66" s="1292">
        <v>140378.85699999999</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158199.943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123513118</v>
      </c>
      <c r="E73" s="443"/>
      <c r="F73" s="324"/>
    </row>
    <row r="74" spans="1:6">
      <c r="A74" s="1291" t="s">
        <v>63</v>
      </c>
      <c r="B74" s="1291" t="s">
        <v>648</v>
      </c>
      <c r="C74" s="1305" t="s">
        <v>650</v>
      </c>
      <c r="D74" s="1306">
        <v>12205750</v>
      </c>
      <c r="E74" s="443"/>
      <c r="F74" s="324"/>
    </row>
    <row r="75" spans="1:6">
      <c r="A75" s="1291" t="s">
        <v>64</v>
      </c>
      <c r="B75" s="1291" t="s">
        <v>647</v>
      </c>
      <c r="C75" s="1305" t="s">
        <v>651</v>
      </c>
      <c r="D75" s="1306">
        <v>9362270</v>
      </c>
      <c r="E75" s="443"/>
      <c r="F75" s="324"/>
    </row>
    <row r="76" spans="1:6">
      <c r="A76" s="1291" t="s">
        <v>64</v>
      </c>
      <c r="B76" s="1291" t="s">
        <v>648</v>
      </c>
      <c r="C76" s="1305" t="s">
        <v>652</v>
      </c>
      <c r="D76" s="1306">
        <v>94352</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575518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4992.6337558980131</v>
      </c>
      <c r="C91" s="324"/>
      <c r="D91" s="324"/>
      <c r="E91" s="324"/>
      <c r="F91" s="324"/>
    </row>
    <row r="92" spans="1:6">
      <c r="A92" s="1286" t="s">
        <v>68</v>
      </c>
      <c r="B92" s="1287">
        <v>1260.0839070364536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496</v>
      </c>
      <c r="C97" s="324"/>
      <c r="D97" s="324"/>
      <c r="E97" s="324"/>
      <c r="F97" s="324"/>
    </row>
    <row r="98" spans="1:6">
      <c r="A98" s="1291" t="s">
        <v>71</v>
      </c>
      <c r="B98" s="1292">
        <v>3</v>
      </c>
      <c r="C98" s="324"/>
      <c r="D98" s="324"/>
      <c r="E98" s="324"/>
      <c r="F98" s="324"/>
    </row>
    <row r="99" spans="1:6">
      <c r="A99" s="1291" t="s">
        <v>72</v>
      </c>
      <c r="B99" s="1292">
        <v>71</v>
      </c>
      <c r="C99" s="324"/>
      <c r="D99" s="324"/>
      <c r="E99" s="324"/>
      <c r="F99" s="324"/>
    </row>
    <row r="100" spans="1:6">
      <c r="A100" s="1291" t="s">
        <v>73</v>
      </c>
      <c r="B100" s="1292">
        <v>218</v>
      </c>
      <c r="C100" s="324"/>
      <c r="D100" s="324"/>
      <c r="E100" s="324"/>
      <c r="F100" s="324"/>
    </row>
    <row r="101" spans="1:6">
      <c r="A101" s="1291" t="s">
        <v>74</v>
      </c>
      <c r="B101" s="1292">
        <v>67</v>
      </c>
      <c r="C101" s="324"/>
      <c r="D101" s="324"/>
      <c r="E101" s="324"/>
      <c r="F101" s="324"/>
    </row>
    <row r="102" spans="1:6">
      <c r="A102" s="1291" t="s">
        <v>75</v>
      </c>
      <c r="B102" s="1292">
        <v>49</v>
      </c>
      <c r="C102" s="324"/>
      <c r="D102" s="324"/>
      <c r="E102" s="324"/>
      <c r="F102" s="324"/>
    </row>
    <row r="103" spans="1:6">
      <c r="A103" s="1291" t="s">
        <v>76</v>
      </c>
      <c r="B103" s="1292">
        <v>75</v>
      </c>
      <c r="C103" s="324"/>
      <c r="D103" s="324"/>
      <c r="E103" s="324"/>
      <c r="F103" s="324"/>
    </row>
    <row r="104" spans="1:6">
      <c r="A104" s="1291" t="s">
        <v>77</v>
      </c>
      <c r="B104" s="1292">
        <v>3050</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27</v>
      </c>
      <c r="C123" s="1292">
        <v>34</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211</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40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35225.922356545481</v>
      </c>
      <c r="C3" s="43" t="s">
        <v>169</v>
      </c>
      <c r="D3" s="43"/>
      <c r="E3" s="154"/>
      <c r="F3" s="43"/>
      <c r="G3" s="43"/>
      <c r="H3" s="43"/>
      <c r="I3" s="43"/>
      <c r="J3" s="43"/>
      <c r="K3" s="96"/>
    </row>
    <row r="4" spans="1:11">
      <c r="A4" s="352" t="s">
        <v>170</v>
      </c>
      <c r="B4" s="49">
        <f>IF(ISERROR('SEAP template'!B78+'SEAP template'!C78),0,'SEAP template'!B78+'SEAP template'!C78)</f>
        <v>6342.7176629344667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21.388235294117649</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0.1818143016315395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30.554621848739504</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128.57142857142858</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864.48500000000001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864.48500000000001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0.1818143016315395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157.17573654594142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16797.307199999999</v>
      </c>
      <c r="C5" s="17">
        <f>IF(ISERROR('Eigen informatie GS &amp; warmtenet'!B57),0,'Eigen informatie GS &amp; warmtenet'!B57)</f>
        <v>0</v>
      </c>
      <c r="D5" s="30">
        <f>(SUM(HH_hh_gas_kWh,HH_rest_gas_kWh)/1000)*0.902</f>
        <v>33873.001688900004</v>
      </c>
      <c r="E5" s="17">
        <f>B32*B41</f>
        <v>1499.9488664668011</v>
      </c>
      <c r="F5" s="17">
        <f>B36*B45</f>
        <v>38001.980726933616</v>
      </c>
      <c r="G5" s="18"/>
      <c r="H5" s="17"/>
      <c r="I5" s="17"/>
      <c r="J5" s="17">
        <f>B35*B44+C35*C44</f>
        <v>182.86126777008647</v>
      </c>
      <c r="K5" s="17"/>
      <c r="L5" s="17"/>
      <c r="M5" s="17"/>
      <c r="N5" s="17">
        <f>B34*B43+C34*C43</f>
        <v>7514.9390681754103</v>
      </c>
      <c r="O5" s="17">
        <f>B52*B53*B54</f>
        <v>384.58000000000004</v>
      </c>
      <c r="P5" s="17">
        <f>B60*B61*B62/1000-B60*B61*B62/1000/B63</f>
        <v>1296.5333333333333</v>
      </c>
    </row>
    <row r="6" spans="1:16">
      <c r="A6" s="16" t="s">
        <v>613</v>
      </c>
      <c r="B6" s="756">
        <f>kWh_PV_kleiner_dan_10kW</f>
        <v>4992.6337558980131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21789.940955898011</v>
      </c>
      <c r="C8" s="21">
        <f>C5</f>
        <v>0</v>
      </c>
      <c r="D8" s="21">
        <f>D5</f>
        <v>33873.001688900004</v>
      </c>
      <c r="E8" s="21">
        <f>E5</f>
        <v>1499.9488664668011</v>
      </c>
      <c r="F8" s="21">
        <f>F5</f>
        <v>38001.980726933616</v>
      </c>
      <c r="G8" s="21"/>
      <c r="H8" s="21"/>
      <c r="I8" s="21"/>
      <c r="J8" s="21">
        <f>J5</f>
        <v>182.86126777008647</v>
      </c>
      <c r="K8" s="21"/>
      <c r="L8" s="21">
        <f>L5</f>
        <v>0</v>
      </c>
      <c r="M8" s="21">
        <f>M5</f>
        <v>0</v>
      </c>
      <c r="N8" s="21">
        <f>N5</f>
        <v>7514.9390681754103</v>
      </c>
      <c r="O8" s="21">
        <f>O5</f>
        <v>384.58000000000004</v>
      </c>
      <c r="P8" s="21">
        <f>P5</f>
        <v>1296.5333333333333</v>
      </c>
    </row>
    <row r="9" spans="1:16">
      <c r="B9" s="19"/>
      <c r="C9" s="19"/>
      <c r="D9" s="254"/>
      <c r="E9" s="19"/>
      <c r="F9" s="19"/>
      <c r="G9" s="19"/>
      <c r="H9" s="19"/>
      <c r="I9" s="19"/>
      <c r="J9" s="19"/>
      <c r="K9" s="19"/>
      <c r="L9" s="19"/>
      <c r="M9" s="19"/>
      <c r="N9" s="19"/>
      <c r="O9" s="19"/>
      <c r="P9" s="19"/>
    </row>
    <row r="10" spans="1:16">
      <c r="A10" s="24" t="s">
        <v>213</v>
      </c>
      <c r="B10" s="25">
        <f ca="1">'EF ele_warmte'!B12</f>
        <v>0.1818143016315395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3961.7228974890772</v>
      </c>
      <c r="C12" s="23">
        <f ca="1">C10*C8</f>
        <v>0</v>
      </c>
      <c r="D12" s="23">
        <f>D8*D10</f>
        <v>6842.3463411578014</v>
      </c>
      <c r="E12" s="23">
        <f>E10*E8</f>
        <v>340.48839268796388</v>
      </c>
      <c r="F12" s="23">
        <f>F10*F8</f>
        <v>10146.528854091275</v>
      </c>
      <c r="G12" s="23"/>
      <c r="H12" s="23"/>
      <c r="I12" s="23"/>
      <c r="J12" s="23">
        <f>J10*J8</f>
        <v>64.732888790610602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4921</v>
      </c>
      <c r="C26" s="36"/>
      <c r="D26" s="225"/>
    </row>
    <row r="27" spans="1:5" s="15" customFormat="1">
      <c r="A27" s="227" t="s">
        <v>768</v>
      </c>
      <c r="B27" s="37">
        <f>SUM(HH_hh_gas_aantal,HH_rest_gas_aantal)</f>
        <v>2394</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2274.3000000000002</v>
      </c>
      <c r="C31" s="34" t="s">
        <v>110</v>
      </c>
      <c r="D31" s="171"/>
    </row>
    <row r="32" spans="1:5">
      <c r="A32" s="168" t="s">
        <v>72</v>
      </c>
      <c r="B32" s="33">
        <f>IF((B21*($B$26-($B$27-0.05*$B$27)-$B$60))&lt;0,0,B21*($B$26-($B$27-0.05*$B$27)-$B$60))</f>
        <v>28.366974649832699</v>
      </c>
      <c r="C32" s="34" t="s">
        <v>110</v>
      </c>
      <c r="D32" s="171"/>
    </row>
    <row r="33" spans="1:6">
      <c r="A33" s="168" t="s">
        <v>73</v>
      </c>
      <c r="B33" s="33">
        <f>IF((B22*($B$26-($B$27-0.05*$B$27)-$B$60))&lt;0,0,B22*($B$26-($B$27-0.05*$B$27)-$B$60))</f>
        <v>589.77322468399598</v>
      </c>
      <c r="C33" s="34" t="s">
        <v>110</v>
      </c>
      <c r="D33" s="171"/>
    </row>
    <row r="34" spans="1:6">
      <c r="A34" s="168" t="s">
        <v>74</v>
      </c>
      <c r="B34" s="33">
        <f>IF((B24*($B$26-($B$27-0.05*$B$27)-$B$60))&lt;0,0,B24*($B$26-($B$27-0.05*$B$27)-$B$60))</f>
        <v>117.28492833679736</v>
      </c>
      <c r="C34" s="33">
        <f>B26*C24</f>
        <v>1007.3068120388883</v>
      </c>
      <c r="D34" s="230"/>
    </row>
    <row r="35" spans="1:6">
      <c r="A35" s="168" t="s">
        <v>76</v>
      </c>
      <c r="B35" s="33">
        <f>IF((B19*($B$26-($B$27-0.05*$B$27)-$B$60))&lt;0,0,B19*($B$26-($B$27-0.05*$B$27)-$B$60))</f>
        <v>21.470740979828648</v>
      </c>
      <c r="C35" s="33">
        <f>B35/2</f>
        <v>10.735370489914324</v>
      </c>
      <c r="D35" s="230"/>
    </row>
    <row r="36" spans="1:6">
      <c r="A36" s="168" t="s">
        <v>77</v>
      </c>
      <c r="B36" s="33">
        <f>IF((B18*($B$26-($B$27-0.05*$B$27)-$B$60))&lt;0,0,B18*($B$26-($B$27-0.05*$B$27)-$B$60))</f>
        <v>1821.8041313495453</v>
      </c>
      <c r="C36" s="34" t="s">
        <v>110</v>
      </c>
      <c r="D36" s="171"/>
    </row>
    <row r="37" spans="1:6">
      <c r="A37" s="168" t="s">
        <v>78</v>
      </c>
      <c r="B37" s="33">
        <f>B60</f>
        <v>68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246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68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8142.504578</v>
      </c>
      <c r="C5" s="17">
        <f>IF(ISERROR('Eigen informatie GS &amp; warmtenet'!B58),0,'Eigen informatie GS &amp; warmtenet'!B58)</f>
        <v>0</v>
      </c>
      <c r="D5" s="30">
        <f>SUM(D6:D12)</f>
        <v>7413.7717081999999</v>
      </c>
      <c r="E5" s="17">
        <f>SUM(E6:E12)</f>
        <v>106.08446056424921</v>
      </c>
      <c r="F5" s="17">
        <f>SUM(F6:F12)</f>
        <v>1405.0096434536292</v>
      </c>
      <c r="G5" s="18"/>
      <c r="H5" s="17"/>
      <c r="I5" s="17"/>
      <c r="J5" s="17">
        <f>SUM(J6:J12)</f>
        <v>1.9608569492784795E-2</v>
      </c>
      <c r="K5" s="17"/>
      <c r="L5" s="17"/>
      <c r="M5" s="17"/>
      <c r="N5" s="17">
        <f>SUM(N6:N12)</f>
        <v>797.66585248676313</v>
      </c>
      <c r="O5" s="17">
        <f>B38*B39*B40</f>
        <v>1.5633333333333335</v>
      </c>
      <c r="P5" s="17">
        <f>B46*B47*B48/1000-B46*B47*B48/1000/B49</f>
        <v>0</v>
      </c>
      <c r="R5" s="32"/>
    </row>
    <row r="6" spans="1:18">
      <c r="A6" s="32" t="s">
        <v>53</v>
      </c>
      <c r="B6" s="37">
        <f>B26</f>
        <v>1966.598673</v>
      </c>
      <c r="C6" s="33"/>
      <c r="D6" s="37">
        <f>IF(ISERROR(TER_kantoor_gas_kWh/1000),0,TER_kantoor_gas_kWh/1000)*0.902</f>
        <v>2599.4914792000004</v>
      </c>
      <c r="E6" s="33">
        <f>$C$26*'E Balans VL '!I12/100/3.6*1000000</f>
        <v>1.2325986401892454E-2</v>
      </c>
      <c r="F6" s="33">
        <f>$C$26*('E Balans VL '!L12+'E Balans VL '!N12)/100/3.6*1000000</f>
        <v>295.52482854399665</v>
      </c>
      <c r="G6" s="34"/>
      <c r="H6" s="33"/>
      <c r="I6" s="33"/>
      <c r="J6" s="33">
        <f>$C$26*('E Balans VL '!D12+'E Balans VL '!E12)/100/3.6*1000000</f>
        <v>0</v>
      </c>
      <c r="K6" s="33"/>
      <c r="L6" s="33"/>
      <c r="M6" s="33"/>
      <c r="N6" s="33">
        <f>$C$26*'E Balans VL '!Y12/100/3.6*1000000</f>
        <v>1.8807600504719959</v>
      </c>
      <c r="O6" s="33"/>
      <c r="P6" s="33"/>
      <c r="R6" s="32"/>
    </row>
    <row r="7" spans="1:18">
      <c r="A7" s="32" t="s">
        <v>52</v>
      </c>
      <c r="B7" s="37">
        <f t="shared" ref="B7:B12" si="0">B27</f>
        <v>1026.3413229999999</v>
      </c>
      <c r="C7" s="33"/>
      <c r="D7" s="37">
        <f>IF(ISERROR(TER_horeca_gas_kWh/1000),0,TER_horeca_gas_kWh/1000)*0.902</f>
        <v>937.36381199999994</v>
      </c>
      <c r="E7" s="33">
        <f>$C$27*'E Balans VL '!I9/100/3.6*1000000</f>
        <v>14.697036789530729</v>
      </c>
      <c r="F7" s="33">
        <f>$C$27*('E Balans VL '!L9+'E Balans VL '!N9)/100/3.6*1000000</f>
        <v>129.96866153273459</v>
      </c>
      <c r="G7" s="34"/>
      <c r="H7" s="33"/>
      <c r="I7" s="33"/>
      <c r="J7" s="33">
        <f>$C$27*('E Balans VL '!D9+'E Balans VL '!E9)/100/3.6*1000000</f>
        <v>0</v>
      </c>
      <c r="K7" s="33"/>
      <c r="L7" s="33"/>
      <c r="M7" s="33"/>
      <c r="N7" s="33">
        <f>$C$27*'E Balans VL '!Y9/100/3.6*1000000</f>
        <v>0.29505050147878364</v>
      </c>
      <c r="O7" s="33"/>
      <c r="P7" s="33"/>
      <c r="R7" s="32"/>
    </row>
    <row r="8" spans="1:18">
      <c r="A8" s="6" t="s">
        <v>51</v>
      </c>
      <c r="B8" s="37">
        <f t="shared" si="0"/>
        <v>2347.0326669999999</v>
      </c>
      <c r="C8" s="33"/>
      <c r="D8" s="37">
        <f>IF(ISERROR(TER_handel_gas_kWh/1000),0,TER_handel_gas_kWh/1000)*0.902</f>
        <v>884.84477179999999</v>
      </c>
      <c r="E8" s="33">
        <f>$C$28*'E Balans VL '!I13/100/3.6*1000000</f>
        <v>85.126585408988106</v>
      </c>
      <c r="F8" s="33">
        <f>$C$28*('E Balans VL '!L13+'E Balans VL '!N13)/100/3.6*1000000</f>
        <v>452.0622568808987</v>
      </c>
      <c r="G8" s="34"/>
      <c r="H8" s="33"/>
      <c r="I8" s="33"/>
      <c r="J8" s="33">
        <f>$C$28*('E Balans VL '!D13+'E Balans VL '!E13)/100/3.6*1000000</f>
        <v>0</v>
      </c>
      <c r="K8" s="33"/>
      <c r="L8" s="33"/>
      <c r="M8" s="33"/>
      <c r="N8" s="33">
        <f>$C$28*'E Balans VL '!Y13/100/3.6*1000000</f>
        <v>3.2511802719271437</v>
      </c>
      <c r="O8" s="33"/>
      <c r="P8" s="33"/>
      <c r="R8" s="32"/>
    </row>
    <row r="9" spans="1:18">
      <c r="A9" s="32" t="s">
        <v>50</v>
      </c>
      <c r="B9" s="37">
        <f t="shared" si="0"/>
        <v>1562.8873149999999</v>
      </c>
      <c r="C9" s="33"/>
      <c r="D9" s="37">
        <f>IF(ISERROR(TER_gezond_gas_kWh/1000),0,TER_gezond_gas_kWh/1000)*0.902</f>
        <v>1287.3930300000002</v>
      </c>
      <c r="E9" s="33">
        <f>$C$29*'E Balans VL '!I10/100/3.6*1000000</f>
        <v>9.7852176643514047E-2</v>
      </c>
      <c r="F9" s="33">
        <f>$C$29*('E Balans VL '!L10+'E Balans VL '!N10)/100/3.6*1000000</f>
        <v>232.17166918194491</v>
      </c>
      <c r="G9" s="34"/>
      <c r="H9" s="33"/>
      <c r="I9" s="33"/>
      <c r="J9" s="33">
        <f>$C$29*('E Balans VL '!D10+'E Balans VL '!E10)/100/3.6*1000000</f>
        <v>0</v>
      </c>
      <c r="K9" s="33"/>
      <c r="L9" s="33"/>
      <c r="M9" s="33"/>
      <c r="N9" s="33">
        <f>$C$29*'E Balans VL '!Y10/100/3.6*1000000</f>
        <v>24.174891794154995</v>
      </c>
      <c r="O9" s="33"/>
      <c r="P9" s="33"/>
      <c r="R9" s="32"/>
    </row>
    <row r="10" spans="1:18">
      <c r="A10" s="32" t="s">
        <v>49</v>
      </c>
      <c r="B10" s="37">
        <f t="shared" si="0"/>
        <v>903.36759999999992</v>
      </c>
      <c r="C10" s="33"/>
      <c r="D10" s="37">
        <f>IF(ISERROR(TER_ander_gas_kWh/1000),0,TER_ander_gas_kWh/1000)*0.902</f>
        <v>356.75687519999997</v>
      </c>
      <c r="E10" s="33">
        <f>$C$30*'E Balans VL '!I14/100/3.6*1000000</f>
        <v>1.0767818982964898</v>
      </c>
      <c r="F10" s="33">
        <f>$C$30*('E Balans VL '!L14+'E Balans VL '!N14)/100/3.6*1000000</f>
        <v>236.36112472915866</v>
      </c>
      <c r="G10" s="34"/>
      <c r="H10" s="33"/>
      <c r="I10" s="33"/>
      <c r="J10" s="33">
        <f>$C$30*('E Balans VL '!D14+'E Balans VL '!E14)/100/3.6*1000000</f>
        <v>1.9608569492784795E-2</v>
      </c>
      <c r="K10" s="33"/>
      <c r="L10" s="33"/>
      <c r="M10" s="33"/>
      <c r="N10" s="33">
        <f>$C$30*'E Balans VL '!Y14/100/3.6*1000000</f>
        <v>767.1176608259791</v>
      </c>
      <c r="O10" s="33"/>
      <c r="P10" s="33"/>
      <c r="R10" s="32"/>
    </row>
    <row r="11" spans="1:18">
      <c r="A11" s="32" t="s">
        <v>54</v>
      </c>
      <c r="B11" s="37">
        <f t="shared" si="0"/>
        <v>336.27699999999999</v>
      </c>
      <c r="C11" s="33"/>
      <c r="D11" s="37">
        <f>IF(ISERROR(TER_onderwijs_gas_kWh/1000),0,TER_onderwijs_gas_kWh/1000)*0.902</f>
        <v>1347.92174</v>
      </c>
      <c r="E11" s="33">
        <f>$C$31*'E Balans VL '!I11/100/3.6*1000000</f>
        <v>5.0738783043884856</v>
      </c>
      <c r="F11" s="33">
        <f>$C$31*('E Balans VL '!L11+'E Balans VL '!N11)/100/3.6*1000000</f>
        <v>58.921102584895706</v>
      </c>
      <c r="G11" s="34"/>
      <c r="H11" s="33"/>
      <c r="I11" s="33"/>
      <c r="J11" s="33">
        <f>$C$31*('E Balans VL '!D11+'E Balans VL '!E11)/100/3.6*1000000</f>
        <v>0</v>
      </c>
      <c r="K11" s="33"/>
      <c r="L11" s="33"/>
      <c r="M11" s="33"/>
      <c r="N11" s="33">
        <f>$C$31*'E Balans VL '!Y11/100/3.6*1000000</f>
        <v>0.94630904275109362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90</v>
      </c>
      <c r="C13" s="243">
        <f ca="1">'lokale energieproductie'!O38+'lokale energieproductie'!O31</f>
        <v>128.57142857142858</v>
      </c>
      <c r="D13" s="302">
        <f ca="1">('lokale energieproductie'!P31+'lokale energieproductie'!P38)*(-1)</f>
        <v>-257.14285714285717</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8232.504578</v>
      </c>
      <c r="C16" s="21">
        <f t="shared" ca="1" si="1"/>
        <v>128.57142857142858</v>
      </c>
      <c r="D16" s="21">
        <f t="shared" ca="1" si="1"/>
        <v>7156.628851057143</v>
      </c>
      <c r="E16" s="21">
        <f t="shared" si="1"/>
        <v>106.08446056424921</v>
      </c>
      <c r="F16" s="21">
        <f t="shared" ca="1" si="1"/>
        <v>1405.0096434536292</v>
      </c>
      <c r="G16" s="21">
        <f t="shared" si="1"/>
        <v>0</v>
      </c>
      <c r="H16" s="21">
        <f t="shared" si="1"/>
        <v>0</v>
      </c>
      <c r="I16" s="21">
        <f t="shared" si="1"/>
        <v>0</v>
      </c>
      <c r="J16" s="21">
        <f t="shared" si="1"/>
        <v>1.9608569492784795E-2</v>
      </c>
      <c r="K16" s="21">
        <f t="shared" si="1"/>
        <v>0</v>
      </c>
      <c r="L16" s="21">
        <f t="shared" ca="1" si="1"/>
        <v>0</v>
      </c>
      <c r="M16" s="21">
        <f t="shared" si="1"/>
        <v>0</v>
      </c>
      <c r="N16" s="21">
        <f t="shared" ca="1" si="1"/>
        <v>797.66585248676313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0.1818143016315395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1496.7870705275218</v>
      </c>
      <c r="C20" s="23">
        <f t="shared" ref="C20:P20" ca="1" si="2">C16*C18</f>
        <v>30.554621848739504</v>
      </c>
      <c r="D20" s="23">
        <f t="shared" ca="1" si="2"/>
        <v>1445.639027913543</v>
      </c>
      <c r="E20" s="23">
        <f t="shared" si="2"/>
        <v>24.081172548084574</v>
      </c>
      <c r="F20" s="23">
        <f t="shared" ca="1" si="2"/>
        <v>375.13757480211905</v>
      </c>
      <c r="G20" s="23">
        <f t="shared" si="2"/>
        <v>0</v>
      </c>
      <c r="H20" s="23">
        <f t="shared" si="2"/>
        <v>0</v>
      </c>
      <c r="I20" s="23">
        <f t="shared" si="2"/>
        <v>0</v>
      </c>
      <c r="J20" s="23">
        <f t="shared" si="2"/>
        <v>6.9414336004458167E-3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1966.598673</v>
      </c>
      <c r="C26" s="39">
        <f>IF(ISERROR(B26*3.6/1000000/'E Balans VL '!Z12*100),0,B26*3.6/1000000/'E Balans VL '!Z12*100)</f>
        <v>4.1570780603279844E-2</v>
      </c>
      <c r="D26" s="233" t="s">
        <v>732</v>
      </c>
      <c r="F26" s="6"/>
    </row>
    <row r="27" spans="1:18">
      <c r="A27" s="228" t="s">
        <v>52</v>
      </c>
      <c r="B27" s="33">
        <f>IF(ISERROR(TER_horeca_ele_kWh/1000),0,TER_horeca_ele_kWh/1000)</f>
        <v>1026.3413229999999</v>
      </c>
      <c r="C27" s="39">
        <f>IF(ISERROR(B27*3.6/1000000/'E Balans VL '!Z9*100),0,B27*3.6/1000000/'E Balans VL '!Z9*100)</f>
        <v>8.0906103955149689E-2</v>
      </c>
      <c r="D27" s="233" t="s">
        <v>732</v>
      </c>
      <c r="F27" s="6"/>
    </row>
    <row r="28" spans="1:18">
      <c r="A28" s="168" t="s">
        <v>51</v>
      </c>
      <c r="B28" s="33">
        <f>IF(ISERROR(TER_handel_ele_kWh/1000),0,TER_handel_ele_kWh/1000)</f>
        <v>2347.0326669999999</v>
      </c>
      <c r="C28" s="39">
        <f>IF(ISERROR(B28*3.6/1000000/'E Balans VL '!Z13*100),0,B28*3.6/1000000/'E Balans VL '!Z13*100)</f>
        <v>6.8120371070951077E-2</v>
      </c>
      <c r="D28" s="233" t="s">
        <v>732</v>
      </c>
      <c r="F28" s="6"/>
    </row>
    <row r="29" spans="1:18">
      <c r="A29" s="228" t="s">
        <v>50</v>
      </c>
      <c r="B29" s="33">
        <f>IF(ISERROR(TER_gezond_ele_kWh/1000),0,TER_gezond_ele_kWh/1000)</f>
        <v>1562.8873149999999</v>
      </c>
      <c r="C29" s="39">
        <f>IF(ISERROR(B29*3.6/1000000/'E Balans VL '!Z10*100),0,B29*3.6/1000000/'E Balans VL '!Z10*100)</f>
        <v>0.16459769755662387</v>
      </c>
      <c r="D29" s="233" t="s">
        <v>732</v>
      </c>
      <c r="F29" s="6"/>
    </row>
    <row r="30" spans="1:18">
      <c r="A30" s="228" t="s">
        <v>49</v>
      </c>
      <c r="B30" s="33">
        <f>IF(ISERROR(TER_ander_ele_kWh/1000),0,TER_ander_ele_kWh/1000)</f>
        <v>903.36759999999992</v>
      </c>
      <c r="C30" s="39">
        <f>IF(ISERROR(B30*3.6/1000000/'E Balans VL '!Z14*100),0,B30*3.6/1000000/'E Balans VL '!Z14*100)</f>
        <v>6.6632590386466684E-2</v>
      </c>
      <c r="D30" s="233" t="s">
        <v>732</v>
      </c>
      <c r="F30" s="6"/>
    </row>
    <row r="31" spans="1:18">
      <c r="A31" s="228" t="s">
        <v>54</v>
      </c>
      <c r="B31" s="33">
        <f>IF(ISERROR(TER_onderwijs_ele_kWh/1000),0,TER_onderwijs_ele_kWh/1000)</f>
        <v>336.27699999999999</v>
      </c>
      <c r="C31" s="39">
        <f>IF(ISERROR(B31*3.6/1000000/'E Balans VL '!Z11*100),0,B31*3.6/1000000/'E Balans VL '!Z11*100)</f>
        <v>8.3513331242356104E-2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3321.848414</v>
      </c>
      <c r="C5" s="17">
        <f>IF(ISERROR('Eigen informatie GS &amp; warmtenet'!B59),0,'Eigen informatie GS &amp; warmtenet'!B59)</f>
        <v>0</v>
      </c>
      <c r="D5" s="30">
        <f>SUM(D6:D15)</f>
        <v>2528.0249205640002</v>
      </c>
      <c r="E5" s="17">
        <f>SUM(E6:E15)</f>
        <v>382.55417112938079</v>
      </c>
      <c r="F5" s="17">
        <f>SUM(F6:F15)</f>
        <v>1162.150283109936</v>
      </c>
      <c r="G5" s="18"/>
      <c r="H5" s="17"/>
      <c r="I5" s="17"/>
      <c r="J5" s="17">
        <f>SUM(J6:J15)</f>
        <v>0.15289382788056941</v>
      </c>
      <c r="K5" s="17"/>
      <c r="L5" s="17"/>
      <c r="M5" s="17"/>
      <c r="N5" s="17">
        <f>SUM(N6:N15)</f>
        <v>145.92990792748159</v>
      </c>
      <c r="O5" s="17">
        <f>B43*B44*B45</f>
        <v>0</v>
      </c>
      <c r="P5" s="17">
        <f>B51*B52*B53/1000-B51*B52*B53/1000/B54</f>
        <v>0</v>
      </c>
      <c r="R5" s="32"/>
    </row>
    <row r="6" spans="1:18">
      <c r="A6" s="6" t="s">
        <v>34</v>
      </c>
      <c r="B6" s="37">
        <f>IF( ISERROR(IND_ijzer_ele_kWh/1000),0,IND_ijzer_ele_kWh/1000)</f>
        <v>376.77855</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1264.483714</v>
      </c>
      <c r="C8" s="33"/>
      <c r="D8" s="37">
        <f>IF( ISERROR(IND_metaal_Gas_kWH/1000),0,IND_metaal_Gas_kWH/1000)*0.902</f>
        <v>1593.947816164</v>
      </c>
      <c r="E8" s="33">
        <f>C30*'E Balans VL '!I18/100/3.6*1000000</f>
        <v>11.625706500244897</v>
      </c>
      <c r="F8" s="33">
        <f>C30*'E Balans VL '!L18/100/3.6*1000000+C30*'E Balans VL '!N18/100/3.6*1000000</f>
        <v>118.56647344891482</v>
      </c>
      <c r="G8" s="34"/>
      <c r="H8" s="33"/>
      <c r="I8" s="33"/>
      <c r="J8" s="40">
        <f>C30*'E Balans VL '!D18/100/3.6*1000000+C30*'E Balans VL '!E18/100/3.6*1000000</f>
        <v>0</v>
      </c>
      <c r="K8" s="33"/>
      <c r="L8" s="33"/>
      <c r="M8" s="33"/>
      <c r="N8" s="33">
        <f>C30*'E Balans VL '!Y18/100/3.6*1000000</f>
        <v>18.039949827544625</v>
      </c>
      <c r="O8" s="33"/>
      <c r="P8" s="33"/>
      <c r="R8" s="32"/>
    </row>
    <row r="9" spans="1:18">
      <c r="A9" s="6" t="s">
        <v>32</v>
      </c>
      <c r="B9" s="37">
        <f t="shared" si="0"/>
        <v>1258.09915</v>
      </c>
      <c r="C9" s="33"/>
      <c r="D9" s="37">
        <f>IF( ISERROR(IND_andere_gas_kWh/1000),0,IND_andere_gas_kWh/1000)*0.902</f>
        <v>787.26217240000005</v>
      </c>
      <c r="E9" s="33">
        <f>C31*'E Balans VL '!I19/100/3.6*1000000</f>
        <v>367.76687384660016</v>
      </c>
      <c r="F9" s="33">
        <f>C31*'E Balans VL '!L19/100/3.6*1000000+C31*'E Balans VL '!N19/100/3.6*1000000</f>
        <v>1010.9778963804179</v>
      </c>
      <c r="G9" s="34"/>
      <c r="H9" s="33"/>
      <c r="I9" s="33"/>
      <c r="J9" s="40">
        <f>C31*'E Balans VL '!D19/100/3.6*1000000+C31*'E Balans VL '!E19/100/3.6*1000000</f>
        <v>0</v>
      </c>
      <c r="K9" s="33"/>
      <c r="L9" s="33"/>
      <c r="M9" s="33"/>
      <c r="N9" s="33">
        <f>C31*'E Balans VL '!Y19/100/3.6*1000000</f>
        <v>98.683588614898909</v>
      </c>
      <c r="O9" s="33"/>
      <c r="P9" s="33"/>
      <c r="R9" s="32"/>
    </row>
    <row r="10" spans="1:18">
      <c r="A10" s="6" t="s">
        <v>40</v>
      </c>
      <c r="B10" s="37">
        <f t="shared" si="0"/>
        <v>379.779</v>
      </c>
      <c r="C10" s="33"/>
      <c r="D10" s="37">
        <f>IF( ISERROR(IND_voed_gas_kWh/1000),0,IND_voed_gas_kWh/1000)*0.902</f>
        <v>121.732116</v>
      </c>
      <c r="E10" s="33">
        <f>C32*'E Balans VL '!I20/100/3.6*1000000</f>
        <v>0.80342836304313814</v>
      </c>
      <c r="F10" s="33">
        <f>C32*'E Balans VL '!L20/100/3.6*1000000+C32*'E Balans VL '!N20/100/3.6*1000000</f>
        <v>24.146736752872549</v>
      </c>
      <c r="G10" s="34"/>
      <c r="H10" s="33"/>
      <c r="I10" s="33"/>
      <c r="J10" s="40">
        <f>C32*'E Balans VL '!D20/100/3.6*1000000+C32*'E Balans VL '!E20/100/3.6*1000000</f>
        <v>0</v>
      </c>
      <c r="K10" s="33"/>
      <c r="L10" s="33"/>
      <c r="M10" s="33"/>
      <c r="N10" s="33">
        <f>C32*'E Balans VL '!Y20/100/3.6*1000000</f>
        <v>26.208498750746724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42.707999999999998</v>
      </c>
      <c r="C15" s="33"/>
      <c r="D15" s="37">
        <f>IF( ISERROR(IND_rest_gas_kWh/1000),0,IND_rest_gas_kWh/1000)*0.902</f>
        <v>25.082816000000001</v>
      </c>
      <c r="E15" s="33">
        <f>C37*'E Balans VL '!I15/100/3.6*1000000</f>
        <v>2.3581624194926052</v>
      </c>
      <c r="F15" s="33">
        <f>C37*'E Balans VL '!L15/100/3.6*1000000+C37*'E Balans VL '!N15/100/3.6*1000000</f>
        <v>8.4591765277307083</v>
      </c>
      <c r="G15" s="34"/>
      <c r="H15" s="33"/>
      <c r="I15" s="33"/>
      <c r="J15" s="40">
        <f>C37*'E Balans VL '!D15/100/3.6*1000000+C37*'E Balans VL '!E15/100/3.6*1000000</f>
        <v>0.15289382788056941</v>
      </c>
      <c r="K15" s="33"/>
      <c r="L15" s="33"/>
      <c r="M15" s="33"/>
      <c r="N15" s="33">
        <f>C37*'E Balans VL '!Y15/100/3.6*1000000</f>
        <v>2.9978707342913453</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3321.848414</v>
      </c>
      <c r="C18" s="21">
        <f>C5+C16</f>
        <v>0</v>
      </c>
      <c r="D18" s="21">
        <f>MAX((D5+D16),0)</f>
        <v>2528.0249205640002</v>
      </c>
      <c r="E18" s="21">
        <f>MAX((E5+E16),0)</f>
        <v>382.55417112938079</v>
      </c>
      <c r="F18" s="21">
        <f>MAX((F5+F16),0)</f>
        <v>1162.150283109936</v>
      </c>
      <c r="G18" s="21"/>
      <c r="H18" s="21"/>
      <c r="I18" s="21"/>
      <c r="J18" s="21">
        <f>MAX((J5+J16),0)</f>
        <v>0.15289382788056941</v>
      </c>
      <c r="K18" s="21"/>
      <c r="L18" s="21">
        <f>MAX((L5+L16),0)</f>
        <v>0</v>
      </c>
      <c r="M18" s="21"/>
      <c r="N18" s="21">
        <f>MAX((N5+N16),0)</f>
        <v>145.92990792748159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0.1818143016315395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603.95954951724707</v>
      </c>
      <c r="C22" s="23">
        <f ca="1">C18*C20</f>
        <v>0</v>
      </c>
      <c r="D22" s="23">
        <f>D18*D20</f>
        <v>510.6610339539281</v>
      </c>
      <c r="E22" s="23">
        <f>E18*E20</f>
        <v>86.839796846369438</v>
      </c>
      <c r="F22" s="23">
        <f>F18*F20</f>
        <v>310.29412559035296</v>
      </c>
      <c r="G22" s="23"/>
      <c r="H22" s="23"/>
      <c r="I22" s="23"/>
      <c r="J22" s="23">
        <f>J18*J20</f>
        <v>5.4124415069721564E-2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1264.483714</v>
      </c>
      <c r="C30" s="39">
        <f>IF(ISERROR(B30*3.6/1000000/'E Balans VL '!Z18*100),0,B30*3.6/1000000/'E Balans VL '!Z18*100)</f>
        <v>7.166153442068797E-2</v>
      </c>
      <c r="D30" s="233" t="s">
        <v>732</v>
      </c>
    </row>
    <row r="31" spans="1:18">
      <c r="A31" s="6" t="s">
        <v>32</v>
      </c>
      <c r="B31" s="37">
        <f>IF( ISERROR(IND_ander_ele_kWh/1000),0,IND_ander_ele_kWh/1000)</f>
        <v>1258.09915</v>
      </c>
      <c r="C31" s="39">
        <f>IF(ISERROR(B31*3.6/1000000/'E Balans VL '!Z19*100),0,B31*3.6/1000000/'E Balans VL '!Z19*100)</f>
        <v>5.7062138810316215E-2</v>
      </c>
      <c r="D31" s="233" t="s">
        <v>732</v>
      </c>
    </row>
    <row r="32" spans="1:18">
      <c r="A32" s="168" t="s">
        <v>40</v>
      </c>
      <c r="B32" s="37">
        <f>IF( ISERROR(IND_voed_ele_kWh/1000),0,IND_voed_ele_kWh/1000)</f>
        <v>379.779</v>
      </c>
      <c r="C32" s="39">
        <f>IF(ISERROR(B32*3.6/1000000/'E Balans VL '!Z20*100),0,B32*3.6/1000000/'E Balans VL '!Z20*100)</f>
        <v>1.1748288521088895E-2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42.707999999999998</v>
      </c>
      <c r="C37" s="39">
        <f>IF(ISERROR(B37*3.6/1000000/'E Balans VL '!Z15*100),0,B37*3.6/1000000/'E Balans VL '!Z15*100)</f>
        <v>3.3851335041228667E-4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599.779</v>
      </c>
      <c r="C5" s="17">
        <f>'Eigen informatie GS &amp; warmtenet'!B60</f>
        <v>0</v>
      </c>
      <c r="D5" s="30">
        <f>IF(ISERROR(SUM(LB_lb_gas_kWh,LB_rest_gas_kWh)/1000),0,SUM(LB_lb_gas_kWh,LB_rest_gas_kWh)/1000)*0.902</f>
        <v>15.720056000000001</v>
      </c>
      <c r="E5" s="17">
        <f>B17*'E Balans VL '!I25/3.6*1000000/100</f>
        <v>17.629336746510855</v>
      </c>
      <c r="F5" s="17">
        <f>B17*('E Balans VL '!L25/3.6*1000000+'E Balans VL '!N25/3.6*1000000)/100</f>
        <v>2498.6469036439839</v>
      </c>
      <c r="G5" s="18"/>
      <c r="H5" s="17"/>
      <c r="I5" s="17"/>
      <c r="J5" s="17">
        <f>('E Balans VL '!D25+'E Balans VL '!E25)/3.6*1000000*landbouw!B17/100</f>
        <v>86.895096698534488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599.779</v>
      </c>
      <c r="C8" s="21">
        <f>C5+C6</f>
        <v>0</v>
      </c>
      <c r="D8" s="21">
        <f>MAX((D5+D6),0)</f>
        <v>15.720056000000001</v>
      </c>
      <c r="E8" s="21">
        <f>MAX((E5+E6),0)</f>
        <v>17.629336746510855</v>
      </c>
      <c r="F8" s="21">
        <f>MAX((F5+F6),0)</f>
        <v>2498.6469036439839</v>
      </c>
      <c r="G8" s="21"/>
      <c r="H8" s="21"/>
      <c r="I8" s="21"/>
      <c r="J8" s="21">
        <f>MAX((J5+J6),0)</f>
        <v>86.895096698534488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0.1818143016315395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109.04840001826312</v>
      </c>
      <c r="C12" s="23">
        <f ca="1">C8*C10</f>
        <v>0</v>
      </c>
      <c r="D12" s="23">
        <f>D8*D10</f>
        <v>3.1754513120000003</v>
      </c>
      <c r="E12" s="23">
        <f>E8*E10</f>
        <v>4.001859441457964</v>
      </c>
      <c r="F12" s="23">
        <f>F8*F10</f>
        <v>667.13872327294371</v>
      </c>
      <c r="G12" s="23"/>
      <c r="H12" s="23"/>
      <c r="I12" s="23"/>
      <c r="J12" s="23">
        <f>J8*J10</f>
        <v>30.760864231281207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8.511052184922499E-2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116.09097918439474</v>
      </c>
      <c r="C26" s="243">
        <f>B26*'GWP N2O_CH4'!B5</f>
        <v>2437.9105628722896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40.875984444601841</v>
      </c>
      <c r="C27" s="243">
        <f>B27*'GWP N2O_CH4'!B5</f>
        <v>858.39567333663865</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1.4354645531636021</v>
      </c>
      <c r="C28" s="243">
        <f>B28*'GWP N2O_CH4'!B4</f>
        <v>444.99401148071667</v>
      </c>
      <c r="D28" s="50"/>
    </row>
    <row r="29" spans="1:4">
      <c r="A29" s="41" t="s">
        <v>271</v>
      </c>
      <c r="B29" s="243">
        <f>B34*'ha_N2O bodem landbouw'!B4</f>
        <v>12.706622409538747</v>
      </c>
      <c r="C29" s="243">
        <f>B29*'GWP N2O_CH4'!B4</f>
        <v>3939.0529469570115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2.8996074448878755E-3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2.4196198217566625E-4</v>
      </c>
      <c r="C5" s="431" t="s">
        <v>210</v>
      </c>
      <c r="D5" s="416">
        <f>SUM(D6:D11)</f>
        <v>4.1103617112803469E-4</v>
      </c>
      <c r="E5" s="416">
        <f>SUM(E6:E11)</f>
        <v>7.1972837985099071E-4</v>
      </c>
      <c r="F5" s="429" t="s">
        <v>210</v>
      </c>
      <c r="G5" s="416">
        <f>SUM(G6:G11)</f>
        <v>0.32770903751804953</v>
      </c>
      <c r="H5" s="416">
        <f>SUM(H6:H11)</f>
        <v>6.6254866318731231E-2</v>
      </c>
      <c r="I5" s="431" t="s">
        <v>210</v>
      </c>
      <c r="J5" s="431" t="s">
        <v>210</v>
      </c>
      <c r="K5" s="431" t="s">
        <v>210</v>
      </c>
      <c r="L5" s="431" t="s">
        <v>210</v>
      </c>
      <c r="M5" s="416">
        <f>SUM(M6:M11)</f>
        <v>2.1097099912544111E-2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2.1664770713478491E-4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3.6422289304247594E-4</v>
      </c>
      <c r="E6" s="859">
        <f>vkm_GW_PW*SUMIFS(TableVerdeelsleutelVkm[LPG],TableVerdeelsleutelVkm[Voertuigtype],"Lichte voertuigen")*SUMIFS(TableECFTransport[EnergieConsumptieFactor (PJ per km)],TableECFTransport[Index],CONCATENATE($A6,"_LPG_LPG"))</f>
        <v>6.4085330053277351E-4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0.1901393187740667</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5.8845162852893824E-2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1.2841423554783588E-2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3.5700040004197936E-6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0.11467002290710217</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1.8709087028740219E-6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6.6996584538984013E-3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2.1716674455454702E-5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4.6813278085558758E-5</v>
      </c>
      <c r="E8" s="419">
        <f>vkm_NGW_PW*SUMIFS(TableVerdeelsleutelVkm[LPG],TableVerdeelsleutelVkm[Voertuigtype],"Lichte voertuigen")*SUMIFS(TableECFTransport[EnergieConsumptieFactor (PJ per km)],TableECFTransport[Index],CONCATENATE($A8,"_LPG_LPG"))</f>
        <v>7.8875079318217257E-5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2.1762368165369143E-2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7.4078151006944839E-3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1.4895689484742455E-3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2.7596585006870399E-8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1.1373276715115589E-3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1.7456440056333318E-8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6.6448955387878129E-5</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67.211661715462853</v>
      </c>
      <c r="C14" s="21"/>
      <c r="D14" s="21">
        <f t="shared" ref="D14:M14" si="0">((D5)*10^9/3600)+D12</f>
        <v>114.17671420223186</v>
      </c>
      <c r="E14" s="21">
        <f t="shared" si="0"/>
        <v>199.92454995860854</v>
      </c>
      <c r="F14" s="21"/>
      <c r="G14" s="21">
        <f t="shared" si="0"/>
        <v>91030.288199458199</v>
      </c>
      <c r="H14" s="21">
        <f t="shared" si="0"/>
        <v>18404.1295329809</v>
      </c>
      <c r="I14" s="21"/>
      <c r="J14" s="21"/>
      <c r="K14" s="21"/>
      <c r="L14" s="21"/>
      <c r="M14" s="21">
        <f t="shared" si="0"/>
        <v>5860.3055312622537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0.1818143016315395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12.220041336292159</v>
      </c>
      <c r="C18" s="23"/>
      <c r="D18" s="23">
        <f t="shared" ref="D18:M18" si="1">D14*D16</f>
        <v>23.063696268850837</v>
      </c>
      <c r="E18" s="23">
        <f t="shared" si="1"/>
        <v>45.382872840604136</v>
      </c>
      <c r="F18" s="23"/>
      <c r="G18" s="23">
        <f t="shared" si="1"/>
        <v>24305.086949255339</v>
      </c>
      <c r="H18" s="23">
        <f t="shared" si="1"/>
        <v>4582.6282537122443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7.5909768955230214E-5</v>
      </c>
      <c r="C50" s="313">
        <f t="shared" ref="C50:P50" si="2">SUM(C51:C52)</f>
        <v>0</v>
      </c>
      <c r="D50" s="313">
        <f t="shared" si="2"/>
        <v>0</v>
      </c>
      <c r="E50" s="313">
        <f t="shared" si="2"/>
        <v>0</v>
      </c>
      <c r="F50" s="313">
        <f t="shared" si="2"/>
        <v>0</v>
      </c>
      <c r="G50" s="313">
        <f t="shared" si="2"/>
        <v>7.1309693208596384E-3</v>
      </c>
      <c r="H50" s="313">
        <f t="shared" si="2"/>
        <v>0</v>
      </c>
      <c r="I50" s="313">
        <f t="shared" si="2"/>
        <v>0</v>
      </c>
      <c r="J50" s="313">
        <f t="shared" si="2"/>
        <v>0</v>
      </c>
      <c r="K50" s="313">
        <f t="shared" si="2"/>
        <v>0</v>
      </c>
      <c r="L50" s="313">
        <f t="shared" si="2"/>
        <v>0</v>
      </c>
      <c r="M50" s="313">
        <f t="shared" si="2"/>
        <v>4.1065111233863996E-4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7.5909768955230214E-5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7.1309693208596384E-3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4.1065111233863996E-4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21.086046932008394</v>
      </c>
      <c r="C54" s="21">
        <f t="shared" ref="C54:P54" si="3">(C50)*10^9/3600</f>
        <v>0</v>
      </c>
      <c r="D54" s="21">
        <f t="shared" si="3"/>
        <v>0</v>
      </c>
      <c r="E54" s="21">
        <f t="shared" si="3"/>
        <v>0</v>
      </c>
      <c r="F54" s="21">
        <f t="shared" si="3"/>
        <v>0</v>
      </c>
      <c r="G54" s="21">
        <f t="shared" si="3"/>
        <v>1980.8248113498994</v>
      </c>
      <c r="H54" s="21">
        <f t="shared" si="3"/>
        <v>0</v>
      </c>
      <c r="I54" s="21">
        <f t="shared" si="3"/>
        <v>0</v>
      </c>
      <c r="J54" s="21">
        <f t="shared" si="3"/>
        <v>0</v>
      </c>
      <c r="K54" s="21">
        <f t="shared" si="3"/>
        <v>0</v>
      </c>
      <c r="L54" s="21">
        <f t="shared" si="3"/>
        <v>0</v>
      </c>
      <c r="M54" s="21">
        <f t="shared" si="3"/>
        <v>114.06975342739999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0.1818143016315395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3.8337448971129722</v>
      </c>
      <c r="C58" s="23">
        <f t="shared" ref="C58:P58" ca="1" si="4">C54*C56</f>
        <v>0</v>
      </c>
      <c r="D58" s="23">
        <f t="shared" si="4"/>
        <v>0</v>
      </c>
      <c r="E58" s="23">
        <f t="shared" si="4"/>
        <v>0</v>
      </c>
      <c r="F58" s="23">
        <f t="shared" si="4"/>
        <v>0</v>
      </c>
      <c r="G58" s="23">
        <f t="shared" si="4"/>
        <v>528.88022463042319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6252.7176629344667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90</v>
      </c>
      <c r="C8" s="538">
        <f>B48</f>
        <v>105.88235294117648</v>
      </c>
      <c r="D8" s="1004"/>
      <c r="E8" s="1004">
        <f>E48</f>
        <v>0</v>
      </c>
      <c r="F8" s="1005"/>
      <c r="G8" s="539"/>
      <c r="H8" s="1004">
        <f>I48</f>
        <v>0</v>
      </c>
      <c r="I8" s="1004">
        <f>G48+F48</f>
        <v>0</v>
      </c>
      <c r="J8" s="1004">
        <f>H48+D48+C48</f>
        <v>0</v>
      </c>
      <c r="K8" s="1004"/>
      <c r="L8" s="1004"/>
      <c r="M8" s="1004"/>
      <c r="N8" s="540"/>
      <c r="O8" s="541">
        <f>C8*$C$12+D8*$D$12+E8*$E$12+F8*$F$12+G8*$G$12+H8*$H$12+I8*$I$12+J8*$J$12</f>
        <v>21.388235294117649</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6342.7176629344667</v>
      </c>
      <c r="C10" s="551">
        <f t="shared" ref="C10:L10" si="0">SUM(C8:C9)</f>
        <v>105.88235294117648</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21.388235294117649</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128.57142857142858</v>
      </c>
      <c r="C17" s="563">
        <f>B49</f>
        <v>151.2605042016807</v>
      </c>
      <c r="D17" s="564"/>
      <c r="E17" s="564">
        <f>E49</f>
        <v>0</v>
      </c>
      <c r="F17" s="1010"/>
      <c r="G17" s="565"/>
      <c r="H17" s="563">
        <f>I49</f>
        <v>0</v>
      </c>
      <c r="I17" s="564">
        <f>G49+F49</f>
        <v>0</v>
      </c>
      <c r="J17" s="564">
        <f>H49+D49+C49</f>
        <v>0</v>
      </c>
      <c r="K17" s="564"/>
      <c r="L17" s="564"/>
      <c r="M17" s="564"/>
      <c r="N17" s="1011"/>
      <c r="O17" s="566">
        <f>C17*$C$22+E17*$E$22+H17*$H$22+I17*$I$22+J17*$J$22+D17*$D$22+F17*$F$22+G17*$G$22+K17*$K$22+L17*$L$22</f>
        <v>30.554621848739504</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128.57142857142858</v>
      </c>
      <c r="C20" s="550">
        <f>SUM(C17:C19)</f>
        <v>151.2605042016807</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30.554621848739504</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51">
      <c r="A28" s="573"/>
      <c r="B28" s="764">
        <v>72038</v>
      </c>
      <c r="C28" s="764">
        <v>3940</v>
      </c>
      <c r="D28" s="621"/>
      <c r="E28" s="620"/>
      <c r="F28" s="620" t="s">
        <v>902</v>
      </c>
      <c r="G28" s="620" t="s">
        <v>903</v>
      </c>
      <c r="H28" s="620" t="s">
        <v>904</v>
      </c>
      <c r="I28" s="620" t="s">
        <v>905</v>
      </c>
      <c r="J28" s="763">
        <v>41957</v>
      </c>
      <c r="K28" s="763">
        <v>42212</v>
      </c>
      <c r="L28" s="620" t="s">
        <v>906</v>
      </c>
      <c r="M28" s="620">
        <v>20</v>
      </c>
      <c r="N28" s="620">
        <v>90</v>
      </c>
      <c r="O28" s="620">
        <v>128.57142857142858</v>
      </c>
      <c r="P28" s="620">
        <v>257.14285714285717</v>
      </c>
      <c r="Q28" s="620">
        <v>0</v>
      </c>
      <c r="R28" s="620">
        <v>0</v>
      </c>
      <c r="S28" s="620">
        <v>0</v>
      </c>
      <c r="T28" s="620">
        <v>0</v>
      </c>
      <c r="U28" s="620">
        <v>0</v>
      </c>
      <c r="V28" s="620">
        <v>0</v>
      </c>
      <c r="W28" s="620">
        <v>0</v>
      </c>
      <c r="X28" s="620">
        <v>1500</v>
      </c>
      <c r="Y28" s="620" t="s">
        <v>50</v>
      </c>
      <c r="Z28" s="622" t="s">
        <v>155</v>
      </c>
    </row>
    <row r="29" spans="1:26" s="558" customFormat="1">
      <c r="A29" s="576" t="s">
        <v>274</v>
      </c>
      <c r="B29" s="577"/>
      <c r="C29" s="577"/>
      <c r="D29" s="577"/>
      <c r="E29" s="577"/>
      <c r="F29" s="577"/>
      <c r="G29" s="577"/>
      <c r="H29" s="577"/>
      <c r="I29" s="577"/>
      <c r="J29" s="577"/>
      <c r="K29" s="577"/>
      <c r="L29" s="578"/>
      <c r="M29" s="578">
        <f>SUM(M28:M28)</f>
        <v>20</v>
      </c>
      <c r="N29" s="578">
        <f>SUM(N28:N28)</f>
        <v>90</v>
      </c>
      <c r="O29" s="578">
        <f>SUM(O28:O28)</f>
        <v>128.57142857142858</v>
      </c>
      <c r="P29" s="578">
        <f>SUM(P28:P28)</f>
        <v>257.14285714285717</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20</v>
      </c>
      <c r="N31" s="578">
        <f ca="1">SUMIF($Z$28:AD28,"tertiair",N28:N28)</f>
        <v>90</v>
      </c>
      <c r="O31" s="578">
        <f ca="1">SUMIF($Z$28:AE28,"tertiair",O28:O28)</f>
        <v>128.57142857142858</v>
      </c>
      <c r="P31" s="578">
        <f ca="1">SUMIF($Z$28:AF28,"tertiair",P28:P28)</f>
        <v>257.14285714285717</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105.88235294117648</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151.2605042016807</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2021-06-29T15:46:51Z</dcterms:modified>
</cp:coreProperties>
</file>