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B17"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<sst xmlns="http://schemas.openxmlformats.org/spreadsheetml/2006/main" count="2485" uniqueCount="908">
  <si>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</si>
  <si>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</si>
  <si>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</si>
  <si>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</si>
  <si>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</si>
  <si>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</si>
  <si>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</si>
  <si>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</si>
  <si>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</si>
  <si>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</si>
  <si>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</si>
  <si>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</si>
  <si>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</si>
  <si>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</si>
  <si>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</si>
  <si>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</si>
  <si>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</si>
  <si>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</si>
  <si>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</si>
  <si>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</si>
  <si>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</si>
  <si>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</si>
  <si>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</si>
  <si>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</si>
  <si>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</si>
  <si>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</si>
  <si>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</si>
  <si>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</si>
  <si>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</si>
  <si>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</si>
  <si>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</si>
  <si>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</si>
  <si>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</si>
  <si>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</si>
  <si>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</si>
  <si>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</si>
  <si>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</si>
  <si>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</si>
  <si>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</si>
  <si>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</si>
  <si>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</si>
  <si>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</si>
  <si>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</si>
  <si>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</si>
  <si>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</si>
  <si>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</si>
  <si>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</si>
  <si>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</si>
  <si>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</si>
  <si>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</si>
  <si>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</si>
  <si>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</si>
  <si>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</si>
  <si>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</si>
  <si>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</si>
  <si>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</si>
  <si>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</si>
  <si>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</si>
  <si>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</si>
  <si>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</si>
  <si>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</si>
  <si>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</si>
  <si>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</si>
  <si>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</si>
  <si>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</si>
  <si>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</si>
  <si>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</si>
  <si>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</si>
  <si>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</si>
  <si>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</si>
  <si>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</si>
  <si>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</si>
  <si>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</si>
  <si>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</si>
  <si>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</si>
  <si>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</si>
  <si>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</si>
  <si>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</si>
  <si>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</si>
  <si>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</si>
  <si>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</si>
  <si>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</si>
  <si>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</si>
  <si>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</si>
  <si>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</si>
  <si>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</si>
  <si>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</si>
  <si>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</si>
  <si>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</si>
  <si>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</si>
  <si>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</si>
  <si>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</si>
  <si>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</si>
  <si>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</si>
  <si>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</si>
  <si>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</si>
  <si>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</si>
  <si>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</si>
  <si>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</si>
  <si>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</si>
  <si>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</si>
  <si>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</si>
  <si>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</si>
  <si>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</si>
  <si>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</si>
  <si>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</si>
  <si>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</si>
  <si>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</si>
  <si>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</si>
  <si>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</si>
  <si>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</si>
  <si>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</si>
  <si>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</si>
  <si>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</si>
  <si>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</si>
  <si>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</si>
  <si>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</si>
  <si>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</si>
  <si>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</si>
  <si>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</si>
  <si>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</si>
  <si>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</si>
  <si>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</si>
  <si>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</si>
  <si>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</si>
  <si>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</si>
  <si>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</si>
  <si>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</si>
  <si>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</si>
  <si>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</si>
  <si>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</si>
  <si>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</si>
  <si>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</si>
  <si>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</si>
  <si>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</si>
  <si>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</si>
  <si>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</si>
  <si>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</si>
  <si>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</si>
  <si>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</si>
  <si>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</si>
  <si>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</si>
  <si>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</si>
  <si>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</si>
  <si>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</si>
  <si>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</si>
  <si>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</si>
  <si>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</si>
  <si>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</si>
  <si>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</si>
  <si>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</si>
  <si>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</si>
  <si>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</si>
  <si>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</si>
  <si>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</si>
  <si>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</si>
  <si>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</si>
  <si>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</si>
  <si>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</si>
  <si>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</si>
  <si>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</si>
  <si>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</si>
  <si>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</si>
  <si>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</si>
  <si>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</si>
  <si>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</si>
  <si>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</si>
  <si>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</si>
  <si>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</si>
  <si>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</si>
  <si>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</si>
  <si>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</si>
  <si>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</si>
  <si>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</si>
  <si>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</si>
  <si>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</si>
  <si>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</si>
  <si>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</si>
  <si>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</si>
  <si>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</si>
  <si>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</si>
  <si>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</si>
  <si>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</si>
  <si>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</si>
  <si>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</si>
  <si>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</si>
  <si>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</si>
  <si>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</si>
  <si>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</si>
  <si>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</si>
  <si>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</si>
  <si>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</si>
  <si>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</si>
  <si>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</si>
  <si>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</si>
  <si>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</si>
  <si>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</si>
  <si>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</si>
  <si>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</si>
  <si>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</si>
  <si>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</si>
  <si>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</si>
  <si>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</si>
  <si>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</si>
  <si>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</si>
  <si>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</si>
  <si>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</si>
  <si>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</si>
  <si>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</si>
  <si>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</si>
  <si>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</si>
  <si>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</si>
  <si>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</si>
  <si>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</si>
  <si>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</si>
  <si>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</si>
  <si>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</si>
  <si>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</si>
  <si>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</si>
  <si>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</si>
  <si>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</si>
  <si>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</si>
  <si>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</si>
  <si>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</si>
  <si>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</si>
  <si>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</si>
  <si>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</si>
  <si>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</si>
  <si>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</si>
  <si>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</si>
  <si>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</si>
  <si>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</si>
  <si>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</si>
  <si>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</si>
  <si>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</si>
  <si>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</si>
  <si>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</si>
  <si>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</si>
  <si>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</si>
  <si>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</si>
  <si>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</si>
  <si>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</si>
  <si>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</si>
  <si>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</si>
  <si>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</si>
  <si>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</si>
  <si>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</si>
  <si>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</si>
  <si>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</si>
  <si>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</si>
  <si>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</si>
  <si>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</si>
  <si>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</si>
  <si>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</si>
  <si>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</si>
  <si>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</si>
  <si>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</si>
  <si>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</si>
  <si>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</si>
  <si>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</si>
  <si>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</si>
  <si>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</si>
  <si>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</si>
  <si>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</si>
  <si>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</si>
  <si>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</si>
  <si>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</si>
  <si>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</si>
  <si>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</si>
  <si>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</si>
  <si>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</si>
  <si>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</si>
  <si>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</si>
  <si>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</si>
  <si>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</si>
  <si>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</si>
  <si>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</si>
  <si>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</si>
  <si>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</si>
  <si>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</si>
  <si>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</si>
  <si>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</si>
  <si>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</si>
  <si>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</si>
  <si>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</si>
  <si>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</si>
  <si>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</si>
  <si>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</si>
  <si>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</si>
  <si>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</si>
  <si>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</si>
  <si>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</si>
  <si>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</si>
  <si>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</si>
  <si>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</si>
  <si>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</si>
  <si>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</si>
  <si>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</si>
  <si>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</si>
  <si>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</si>
  <si>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</si>
  <si>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</si>
  <si>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</si>
  <si>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</si>
  <si>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</si>
  <si>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</si>
  <si>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</si>
  <si>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</si>
  <si>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</si>
  <si>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</si>
  <si>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</si>
  <si>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</si>
  <si>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</si>
  <si>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</si>
  <si>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</si>
  <si>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</si>
  <si>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</si>
  <si>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</si>
  <si>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</si>
  <si>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</si>
  <si>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</si>
  <si>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</si>
  <si>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</si>
  <si>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</si>
  <si>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</si>
  <si>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</si>
  <si>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</si>
  <si>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</si>
  <si>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</si>
  <si>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</si>
  <si>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</si>
  <si>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</si>
  <si>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</si>
  <si>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</si>
  <si>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</si>
  <si>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</si>
  <si>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</si>
  <si>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</si>
  <si>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</si>
  <si>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</si>
  <si>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</si>
  <si>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</si>
  <si>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</si>
  <si>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</si>
  <si>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</si>
  <si>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</si>
  <si>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</si>
  <si>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</si>
  <si>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</si>
  <si>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</si>
  <si>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</si>
  <si>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</si>
  <si>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</si>
  <si>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</si>
  <si>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</si>
  <si>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</si>
  <si>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</si>
  <si>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</si>
  <si>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</si>
  <si>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</si>
  <si>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</si>
  <si>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</si>
  <si>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</si>
  <si>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</si>
  <si>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</si>
  <si>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</si>
  <si>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</si>
  <si>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</si>
  <si>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</si>
  <si>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</si>
  <si>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</si>
  <si>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</si>
  <si>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</si>
  <si>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</si>
  <si>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</si>
  <si>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</si>
  <si>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</si>
  <si>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</si>
  <si>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</si>
  <si>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</si>
  <si>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</si>
  <si>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</si>
  <si>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</si>
  <si>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</si>
  <si>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</si>
  <si>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</si>
  <si>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</si>
  <si>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</si>
  <si>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</si>
  <si>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</si>
  <si>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</si>
  <si>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</si>
  <si>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</si>
  <si>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</si>
  <si>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</si>
  <si>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</si>
  <si>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</si>
  <si>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</si>
  <si>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</si>
  <si>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</si>
  <si>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</si>
  <si>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</si>
  <si>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</si>
  <si>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</si>
  <si>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</si>
  <si>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</si>
  <si>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</si>
  <si>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</si>
  <si>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</si>
  <si>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</si>
  <si>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</si>
  <si>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</si>
  <si>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</si>
  <si>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</si>
  <si>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</si>
  <si>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</si>
  <si>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</si>
  <si>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</si>
  <si>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</si>
  <si>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</si>
  <si>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</si>
  <si>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</si>
  <si>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</si>
  <si>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</si>
  <si>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</si>
  <si>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</si>
  <si>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</si>
  <si>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</si>
  <si>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</si>
  <si>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</si>
  <si>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</si>
  <si>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</si>
  <si>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</si>
  <si>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</si>
  <si>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</si>
  <si>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</si>
  <si>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</si>
  <si>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</si>
  <si>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</si>
  <si>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</si>
  <si>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</si>
  <si>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</si>
  <si>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</si>
  <si>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</si>
  <si>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</si>
  <si>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</si>
  <si>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</si>
  <si>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</si>
  <si>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</si>
  <si>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</si>
  <si>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</si>
  <si>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</si>
  <si>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</si>
  <si>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</si>
  <si>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</si>
  <si>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</si>
  <si>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</si>
  <si>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</si>
  <si>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</si>
  <si>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</si>
  <si>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</si>
  <si>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</si>
  <si>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</si>
  <si>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</si>
  <si>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</si>
  <si>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</si>
  <si>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</si>
  <si>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</si>
  <si>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</si>
  <si>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</si>
  <si>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</si>
  <si>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</si>
  <si>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</si>
  <si>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</si>
  <si>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</si>
  <si>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</si>
  <si>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</si>
  <si>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</si>
  <si>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</si>
  <si>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</si>
  <si>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</si>
  <si>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</si>
  <si>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</si>
  <si>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</si>
  <si>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</si>
  <si>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</si>
  <si>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</si>
  <si>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</si>
  <si>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</si>
  <si>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</si>
  <si>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</si>
  <si>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</si>
  <si>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</si>
  <si>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</si>
  <si>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</si>
  <si>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</si>
  <si>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</si>
  <si>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</si>
  <si>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</si>
  <si>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</si>
  <si>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</si>
  <si>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</si>
  <si>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</si>
  <si>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</si>
  <si>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</si>
  <si>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</si>
  <si>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</si>
  <si>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</si>
  <si>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</si>
  <si>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</si>
  <si>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</si>
  <si>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</si>
  <si>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</si>
  <si>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</si>
  <si>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</si>
  <si>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</si>
  <si>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</si>
  <si>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</si>
  <si>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</si>
  <si>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</si>
  <si>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</si>
  <si>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</si>
  <si>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</si>
  <si>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</si>
  <si>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</si>
  <si>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</si>
  <si>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</si>
  <si>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</si>
  <si>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</si>
  <si>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</si>
  <si>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</si>
  <si>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</si>
  <si>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</si>
  <si>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</si>
  <si>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</si>
  <si>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</si>
  <si>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</si>
  <si>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</si>
  <si>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</si>
  <si>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</si>
  <si>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</si>
  <si>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</si>
  <si>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</si>
  <si>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</si>
  <si>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</si>
  <si>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</si>
  <si>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</si>
  <si>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</si>
  <si>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</si>
  <si>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</si>
  <si>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</si>
  <si>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</si>
  <si>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</si>
  <si>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</si>
  <si>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</si>
  <si>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</si>
  <si>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</si>
  <si>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</si>
  <si>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</si>
  <si>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</si>
  <si>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</si>
  <si>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</si>
  <si>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</si>
  <si>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</si>
  <si>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</si>
  <si>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</si>
  <si>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</si>
  <si>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</si>
  <si>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</si>
  <si>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</si>
  <si>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</si>
  <si>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</si>
  <si>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</si>
  <si>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</si>
  <si>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</si>
  <si>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</si>
  <si>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</si>
  <si>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</si>
  <si>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</si>
  <si>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</si>
  <si>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</si>
  <si>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</si>
  <si>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</si>
  <si>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</si>
  <si>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</si>
  <si>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</si>
  <si>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</si>
  <si>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</si>
  <si>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</si>
  <si>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</si>
  <si>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</si>
  <si>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</si>
  <si>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</si>
  <si>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</si>
  <si>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</si>
  <si>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</si>
  <si>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</si>
  <si>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</si>
  <si>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</si>
  <si>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</si>
  <si>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</si>
  <si>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</si>
  <si>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</si>
  <si>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</si>
  <si>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</si>
  <si>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</si>
  <si>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</si>
  <si>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</si>
  <si>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</si>
  <si>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</si>
  <si>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</si>
  <si>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</si>
  <si>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</si>
  <si>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</si>
  <si>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</si>
  <si>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</si>
  <si>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</si>
  <si>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</si>
  <si>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</si>
  <si>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</si>
  <si>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</si>
  <si>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</si>
  <si>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</si>
  <si>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</si>
  <si>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</si>
  <si>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</si>
  <si>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</si>
  <si>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</si>
  <si>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</si>
  <si>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</si>
  <si>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</si>
  <si>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</si>
  <si>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</si>
  <si>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</si>
  <si>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</si>
  <si>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</si>
  <si>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</si>
  <si>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</si>
  <si>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</si>
  <si>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</si>
  <si>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</si>
  <si>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</si>
  <si>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</si>
  <si>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</si>
  <si>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</si>
  <si>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</si>
  <si>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</si>
  <si>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</si>
  <si>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</si>
  <si>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</si>
  <si>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</si>
  <si>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</si>
  <si>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</si>
  <si>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</si>
  <si>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</si>
  <si>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</si>
  <si>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</si>
  <si>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</si>
  <si>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</si>
  <si>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</si>
  <si>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</si>
  <si>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</si>
  <si>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</si>
  <si>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</si>
  <si>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</si>
  <si>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</si>
  <si>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</si>
  <si>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</si>
  <si>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</si>
  <si>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</si>
  <si>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</si>
  <si>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</si>
  <si>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</si>
  <si>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</si>
  <si>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</si>
  <si>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</si>
  <si>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</si>
  <si>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</si>
  <si>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</si>
  <si>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</si>
  <si>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</si>
  <si>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</si>
  <si>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</si>
  <si>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</si>
  <si>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</si>
  <si>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</si>
  <si>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</si>
  <si>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</si>
  <si>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</si>
  <si>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</si>
  <si>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</si>
  <si>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</si>
  <si>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</si>
  <si>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</si>
  <si>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</si>
  <si>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</si>
  <si>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</si>
  <si>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</si>
  <si>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</si>
  <si>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</si>
  <si>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</si>
  <si>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</si>
  <si>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</si>
  <si>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</si>
  <si>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</si>
  <si>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</si>
  <si>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</si>
  <si>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</si>
  <si>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</si>
  <si>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</si>
  <si>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</si>
  <si>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</si>
  <si>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</si>
  <si>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</si>
  <si>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</si>
  <si>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</si>
  <si>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</si>
  <si>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</si>
  <si>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</si>
  <si>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</si>
  <si>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</si>
  <si>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</si>
  <si>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</si>
  <si>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</si>
  <si>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</si>
  <si>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</si>
  <si>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</si>
  <si>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</si>
  <si>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</si>
  <si>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</si>
  <si>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</si>
  <si>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</si>
  <si>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</si>
  <si>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</si>
  <si>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</si>
  <si>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</si>
  <si>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</si>
  <si>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</si>
  <si>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</si>
  <si>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</si>
  <si>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</si>
  <si>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</si>
  <si>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</si>
  <si>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</si>
  <si>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</si>
  <si>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</si>
  <si>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</si>
  <si>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</si>
  <si>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</si>
  <si>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</si>
  <si>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</si>
  <si>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</si>
  <si>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</si>
  <si>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</si>
  <si>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</si>
  <si>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</si>
  <si>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</si>
  <si>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</si>
  <si>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</si>
  <si>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</si>
  <si>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</si>
  <si>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</si>
  <si>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</si>
  <si>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</si>
  <si>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</si>
  <si>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</si>
  <si>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</si>
  <si>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</si>
  <si>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</si>
  <si>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</si>
  <si>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</si>
  <si>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</si>
  <si>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</si>
  <si>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</si>
  <si>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</si>
  <si>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</si>
  <si>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</si>
  <si>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</si>
  <si>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</si>
  <si>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</si>
  <si>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</si>
  <si>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</si>
  <si>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</si>
  <si>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</si>
  <si>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</si>
  <si>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</si>
  <si>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</si>
  <si>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</si>
  <si>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</si>
  <si>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</si>
  <si>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</si>
  <si>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</si>
  <si>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</si>
  <si>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</si>
  <si>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</si>
  <si>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</si>
  <si>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</si>
  <si>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</si>
  <si>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</si>
  <si>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</si>
  <si>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</si>
  <si>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</si>
  <si>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</si>
  <si>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</si>
  <si>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</si>
  <si>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</si>
  <si>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</si>
  <si>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</si>
  <si>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</si>
  <si>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</si>
  <si>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</si>
  <si>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</si>
  <si>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</si>
  <si>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</si>
  <si>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</si>
  <si>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</si>
  <si>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</si>
  <si>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</si>
  <si>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</si>
  <si>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</si>
  <si>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</si>
  <si>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</si>
  <si>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</si>
  <si>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</si>
  <si>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</si>
  <si>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</si>
  <si>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</si>
  <si>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</si>
  <si>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</si>
  <si>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</si>
  <si>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</si>
  <si>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</si>
  <si>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</si>
  <si>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</si>
  <si>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</si>
  <si>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</si>
  <si>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</si>
  <si>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</si>
  <si>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</si>
  <si>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</si>
  <si>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</si>
  <si>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</si>
  <si>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</si>
  <si>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</si>
  <si>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</si>
  <si>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</si>
  <si>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</si>
  <si>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</si>
  <si>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</si>
  <si>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</si>
  <si>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</si>
  <si>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</si>
  <si>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</si>
  <si>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</si>
  <si>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</si>
  <si>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</si>
  <si>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</si>
  <si>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</si>
  <si>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</si>
  <si>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</si>
  <si>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</si>
  <si>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</si>
  <si>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</si>
  <si>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</si>
  <si>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</si>
  <si>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</si>
  <si>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</si>
  <si>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</si>
  <si>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</si>
  <si>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</si>
  <si>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</si>
  <si>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</si>
  <si>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</si>
  <si>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</si>
  <si>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</si>
  <si>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</si>
  <si>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</si>
  <si>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</si>
  <si>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</si>
  <si>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</si>
  <si>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</si>
  <si>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</si>
  <si>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</si>
  <si>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</si>
  <si>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</si>
  <si>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</si>
  <si>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</si>
  <si>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</si>
  <si>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</si>
  <si>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</si>
  <si>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</si>
  <si>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</si>
  <si>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</si>
  <si>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</si>
  <si>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</si>
  <si>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</si>
  <si>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</si>
  <si>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</si>
  <si>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46025</t>
  </si>
  <si>
    <t>TEMSE</t>
  </si>
  <si>
    <t>Fluvius</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</si>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</sst>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240688.73149012437</c:v>
                </c:pt>
                <c:pt idx="1">
                  <c:v>95586.238524924236</c:v>
                </c:pt>
                <c:pt idx="2">
                  <c:v>1651.29</c:v>
                </c:pt>
                <c:pt idx="3">
                  <c:v>8373.6957476484749</c:v>
                </c:pt>
                <c:pt idx="4">
                  <c:v>85834.066284938424</c:v>
                </c:pt>
                <c:pt idx="5">
                  <c:v>351099.89017507242</c:v>
                </c:pt>
                <c:pt idx="6">
                  <c:v>2398.5903054107171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240688.73149012437</c:v>
                </c:pt>
                <c:pt idx="1">
                  <c:v>95586.238524924236</c:v>
                </c:pt>
                <c:pt idx="2">
                  <c:v>1651.29</c:v>
                </c:pt>
                <c:pt idx="3">
                  <c:v>8373.6957476484749</c:v>
                </c:pt>
                <c:pt idx="4">
                  <c:v>85834.066284938424</c:v>
                </c:pt>
                <c:pt idx="5">
                  <c:v>351099.89017507242</c:v>
                </c:pt>
                <c:pt idx="6">
                  <c:v>2398.5903054107171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47623.72251086856</c:v>
                </c:pt>
                <c:pt idx="2">
                  <c:v>18750.367846239158</c:v>
                </c:pt>
                <c:pt idx="3">
                  <c:v>320.01187225406306</c:v>
                </c:pt>
                <c:pt idx="4">
                  <c:v>2105.0827139427197</c:v>
                </c:pt>
                <c:pt idx="5">
                  <c:v>17142.165739356649</c:v>
                </c:pt>
                <c:pt idx="6">
                  <c:v>87993.735711495479</c:v>
                </c:pt>
                <c:pt idx="7">
                  <c:v>604.14944490072173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47623.72251086856</c:v>
                </c:pt>
                <c:pt idx="2">
                  <c:v>18750.367846239158</c:v>
                </c:pt>
                <c:pt idx="3">
                  <c:v>320.01187225406306</c:v>
                </c:pt>
                <c:pt idx="4">
                  <c:v>2105.0827139427197</c:v>
                </c:pt>
                <c:pt idx="5">
                  <c:v>17142.165739356649</c:v>
                </c:pt>
                <c:pt idx="6">
                  <c:v>87993.735711495479</c:v>
                </c:pt>
                <c:pt idx="7">
                  <c:v>604.14944490072173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46025</v>
      </c>
      <c r="B6" s="384"/>
      <c r="C6" s="385"/>
    </row>
    <row r="7" spans="1:7" s="382" customFormat="1" ht="15.75" customHeight="1">
      <c r="A7" s="386" t="str">
        <f>txtMunicipality</f>
        <v>TEMSE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41008.709258237279</v>
      </c>
      <c r="D10" s="973">
        <f ca="1">tertiair!C16</f>
        <v>0</v>
      </c>
      <c r="E10" s="973">
        <f ca="1">tertiair!D16</f>
        <v>45134.078703074607</v>
      </c>
      <c r="F10" s="973">
        <f>tertiair!E16</f>
        <v>633.10430177198089</v>
      </c>
      <c r="G10" s="973">
        <f ca="1">tertiair!F16</f>
        <v>6974.773810102577</v>
      </c>
      <c r="H10" s="973">
        <f>tertiair!G16</f>
        <v>0</v>
      </c>
      <c r="I10" s="973">
        <f>tertiair!H16</f>
        <v>0</v>
      </c>
      <c r="J10" s="973">
        <f>tertiair!I16</f>
        <v>0</v>
      </c>
      <c r="K10" s="973">
        <f>tertiair!J16</f>
        <v>8.6382372115842501E-2</v>
      </c>
      <c r="L10" s="973">
        <f>tertiair!K16</f>
        <v>0</v>
      </c>
      <c r="M10" s="973">
        <f ca="1">tertiair!L16</f>
        <v>0</v>
      </c>
      <c r="N10" s="973">
        <f>tertiair!M16</f>
        <v>0</v>
      </c>
      <c r="O10" s="973">
        <f ca="1">tertiair!N16</f>
        <v>3443.9527360323386</v>
      </c>
      <c r="P10" s="973">
        <f>tertiair!O16</f>
        <v>4.6900000000000004</v>
      </c>
      <c r="Q10" s="974">
        <f>tertiair!P16</f>
        <v>38.133333333333333</v>
      </c>
      <c r="R10" s="668">
        <f ca="1">SUM(C10:Q10)</f>
        <v>97237.52852492423</v>
      </c>
      <c r="S10" s="67"/>
    </row>
    <row r="11" spans="1:19" s="441" customFormat="1">
      <c r="A11" s="777" t="s">
        <v>219</v>
      </c>
      <c r="B11" s="782"/>
      <c r="C11" s="973">
        <f>huishoudens!B8</f>
        <v>48832.827232683419</v>
      </c>
      <c r="D11" s="973">
        <f>huishoudens!C8</f>
        <v>0</v>
      </c>
      <c r="E11" s="973">
        <f>huishoudens!D8</f>
        <v>122967.4784440412</v>
      </c>
      <c r="F11" s="973">
        <f>huishoudens!E8</f>
        <v>1893.5640205902293</v>
      </c>
      <c r="G11" s="973">
        <f>huishoudens!F8</f>
        <v>47974.424345003172</v>
      </c>
      <c r="H11" s="973">
        <f>huishoudens!G8</f>
        <v>0</v>
      </c>
      <c r="I11" s="973">
        <f>huishoudens!H8</f>
        <v>0</v>
      </c>
      <c r="J11" s="973">
        <f>huishoudens!I8</f>
        <v>0</v>
      </c>
      <c r="K11" s="973">
        <f>huishoudens!J8</f>
        <v>230.84754763979501</v>
      </c>
      <c r="L11" s="973">
        <f>huishoudens!K8</f>
        <v>0</v>
      </c>
      <c r="M11" s="973">
        <f>huishoudens!L8</f>
        <v>0</v>
      </c>
      <c r="N11" s="973">
        <f>huishoudens!M8</f>
        <v>0</v>
      </c>
      <c r="O11" s="973">
        <f>huishoudens!N8</f>
        <v>16981.599900166548</v>
      </c>
      <c r="P11" s="973">
        <f>huishoudens!O8</f>
        <v>301.72333333333336</v>
      </c>
      <c r="Q11" s="974">
        <f>huishoudens!P8</f>
        <v>1506.2666666666667</v>
      </c>
      <c r="R11" s="668">
        <f>SUM(C11:Q11)</f>
        <v>240688.73149012437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42075.860118382137</v>
      </c>
      <c r="D13" s="973">
        <f>industrie!C18</f>
        <v>0</v>
      </c>
      <c r="E13" s="973">
        <f>industrie!D18</f>
        <v>26853.106594354715</v>
      </c>
      <c r="F13" s="973">
        <f>industrie!E18</f>
        <v>3148.3216338885259</v>
      </c>
      <c r="G13" s="973">
        <f>industrie!F18</f>
        <v>10518.417132112199</v>
      </c>
      <c r="H13" s="973">
        <f>industrie!G18</f>
        <v>0</v>
      </c>
      <c r="I13" s="973">
        <f>industrie!H18</f>
        <v>0</v>
      </c>
      <c r="J13" s="973">
        <f>industrie!I18</f>
        <v>0</v>
      </c>
      <c r="K13" s="973">
        <f>industrie!J18</f>
        <v>114.85107907603934</v>
      </c>
      <c r="L13" s="973">
        <f>industrie!K18</f>
        <v>0</v>
      </c>
      <c r="M13" s="973">
        <f>industrie!L18</f>
        <v>0</v>
      </c>
      <c r="N13" s="973">
        <f>industrie!M18</f>
        <v>0</v>
      </c>
      <c r="O13" s="973">
        <f>industrie!N18</f>
        <v>3123.5097271248287</v>
      </c>
      <c r="P13" s="973">
        <f>industrie!O18</f>
        <v>0</v>
      </c>
      <c r="Q13" s="974">
        <f>industrie!P18</f>
        <v>0</v>
      </c>
      <c r="R13" s="668">
        <f>SUM(C13:Q13)</f>
        <v>85834.066284938424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131917.39660930284</v>
      </c>
      <c r="D16" s="700">
        <f t="shared" ref="D16:R16" ca="1" si="0">SUM(D9:D15)</f>
        <v>0</v>
      </c>
      <c r="E16" s="700">
        <f t="shared" ca="1" si="0"/>
        <v>194954.66374147055</v>
      </c>
      <c r="F16" s="700">
        <f t="shared" si="0"/>
        <v>5674.9899562507362</v>
      </c>
      <c r="G16" s="700">
        <f t="shared" ca="1" si="0"/>
        <v>65467.615287217945</v>
      </c>
      <c r="H16" s="700">
        <f t="shared" si="0"/>
        <v>0</v>
      </c>
      <c r="I16" s="700">
        <f t="shared" si="0"/>
        <v>0</v>
      </c>
      <c r="J16" s="700">
        <f t="shared" si="0"/>
        <v>0</v>
      </c>
      <c r="K16" s="700">
        <f t="shared" si="0"/>
        <v>345.78500908795019</v>
      </c>
      <c r="L16" s="700">
        <f t="shared" si="0"/>
        <v>0</v>
      </c>
      <c r="M16" s="700">
        <f t="shared" ca="1" si="0"/>
        <v>0</v>
      </c>
      <c r="N16" s="700">
        <f t="shared" si="0"/>
        <v>0</v>
      </c>
      <c r="O16" s="700">
        <f t="shared" ca="1" si="0"/>
        <v>23549.062363323712</v>
      </c>
      <c r="P16" s="700">
        <f t="shared" si="0"/>
        <v>306.41333333333336</v>
      </c>
      <c r="Q16" s="700">
        <f t="shared" si="0"/>
        <v>1544.4</v>
      </c>
      <c r="R16" s="700">
        <f t="shared" ca="1" si="0"/>
        <v>423760.32629998703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23.902292615854524</v>
      </c>
      <c r="D19" s="973">
        <f>transport!C54</f>
        <v>0</v>
      </c>
      <c r="E19" s="973">
        <f>transport!D54</f>
        <v>0</v>
      </c>
      <c r="F19" s="973">
        <f>transport!E54</f>
        <v>0</v>
      </c>
      <c r="G19" s="973">
        <f>transport!F54</f>
        <v>0</v>
      </c>
      <c r="H19" s="973">
        <f>transport!G54</f>
        <v>2245.383139585022</v>
      </c>
      <c r="I19" s="973">
        <f>transport!H54</f>
        <v>0</v>
      </c>
      <c r="J19" s="973">
        <f>transport!I54</f>
        <v>0</v>
      </c>
      <c r="K19" s="973">
        <f>transport!J54</f>
        <v>0</v>
      </c>
      <c r="L19" s="973">
        <f>transport!K54</f>
        <v>0</v>
      </c>
      <c r="M19" s="973">
        <f>transport!L54</f>
        <v>0</v>
      </c>
      <c r="N19" s="973">
        <f>transport!M54</f>
        <v>129.30487320984037</v>
      </c>
      <c r="O19" s="973">
        <f>transport!N54</f>
        <v>0</v>
      </c>
      <c r="P19" s="973">
        <f>transport!O54</f>
        <v>0</v>
      </c>
      <c r="Q19" s="974">
        <f>transport!P54</f>
        <v>0</v>
      </c>
      <c r="R19" s="668">
        <f>SUM(C19:Q19)</f>
        <v>2398.5903054107171</v>
      </c>
      <c r="S19" s="67"/>
    </row>
    <row r="20" spans="1:19" s="441" customFormat="1">
      <c r="A20" s="777" t="s">
        <v>301</v>
      </c>
      <c r="B20" s="782"/>
      <c r="C20" s="973">
        <f>transport!B14</f>
        <v>186.12853520097482</v>
      </c>
      <c r="D20" s="973">
        <f>transport!C14</f>
        <v>0</v>
      </c>
      <c r="E20" s="973">
        <f>transport!D14</f>
        <v>307.34684223411898</v>
      </c>
      <c r="F20" s="973">
        <f>transport!E14</f>
        <v>571.97672899789097</v>
      </c>
      <c r="G20" s="973">
        <f>transport!F14</f>
        <v>0</v>
      </c>
      <c r="H20" s="973">
        <f>transport!G14</f>
        <v>282075.28642821632</v>
      </c>
      <c r="I20" s="973">
        <f>transport!H14</f>
        <v>50006.589003160319</v>
      </c>
      <c r="J20" s="973">
        <f>transport!I14</f>
        <v>0</v>
      </c>
      <c r="K20" s="973">
        <f>transport!J14</f>
        <v>0</v>
      </c>
      <c r="L20" s="973">
        <f>transport!K14</f>
        <v>0</v>
      </c>
      <c r="M20" s="973">
        <f>transport!L14</f>
        <v>0</v>
      </c>
      <c r="N20" s="973">
        <f>transport!M14</f>
        <v>17952.562637262829</v>
      </c>
      <c r="O20" s="973">
        <f>transport!N14</f>
        <v>0</v>
      </c>
      <c r="P20" s="973">
        <f>transport!O14</f>
        <v>0</v>
      </c>
      <c r="Q20" s="974">
        <f>transport!P14</f>
        <v>0</v>
      </c>
      <c r="R20" s="668">
        <f>SUM(C20:Q20)</f>
        <v>351099.89017507242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210.03082781682934</v>
      </c>
      <c r="D22" s="780">
        <f t="shared" ref="D22:R22" si="1">SUM(D18:D21)</f>
        <v>0</v>
      </c>
      <c r="E22" s="780">
        <f t="shared" si="1"/>
        <v>307.34684223411898</v>
      </c>
      <c r="F22" s="780">
        <f t="shared" si="1"/>
        <v>571.97672899789097</v>
      </c>
      <c r="G22" s="780">
        <f t="shared" si="1"/>
        <v>0</v>
      </c>
      <c r="H22" s="780">
        <f t="shared" si="1"/>
        <v>284320.66956780135</v>
      </c>
      <c r="I22" s="780">
        <f t="shared" si="1"/>
        <v>50006.589003160319</v>
      </c>
      <c r="J22" s="780">
        <f t="shared" si="1"/>
        <v>0</v>
      </c>
      <c r="K22" s="780">
        <f t="shared" si="1"/>
        <v>0</v>
      </c>
      <c r="L22" s="780">
        <f t="shared" si="1"/>
        <v>0</v>
      </c>
      <c r="M22" s="780">
        <f t="shared" si="1"/>
        <v>0</v>
      </c>
      <c r="N22" s="780">
        <f t="shared" si="1"/>
        <v>18081.867510472668</v>
      </c>
      <c r="O22" s="780">
        <f t="shared" si="1"/>
        <v>0</v>
      </c>
      <c r="P22" s="780">
        <f t="shared" si="1"/>
        <v>0</v>
      </c>
      <c r="Q22" s="780">
        <f t="shared" si="1"/>
        <v>0</v>
      </c>
      <c r="R22" s="780">
        <f t="shared" si="1"/>
        <v>353498.48048048315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1493.6406144741031</v>
      </c>
      <c r="D24" s="973">
        <f>+landbouw!C8</f>
        <v>62.357142857142847</v>
      </c>
      <c r="E24" s="973">
        <f>+landbouw!D8</f>
        <v>334.97279401820958</v>
      </c>
      <c r="F24" s="973">
        <f>+landbouw!E8</f>
        <v>43.902659764395487</v>
      </c>
      <c r="G24" s="973">
        <f>+landbouw!F8</f>
        <v>6222.4260877966963</v>
      </c>
      <c r="H24" s="973">
        <f>+landbouw!G8</f>
        <v>0</v>
      </c>
      <c r="I24" s="973">
        <f>+landbouw!H8</f>
        <v>0</v>
      </c>
      <c r="J24" s="973">
        <f>+landbouw!I8</f>
        <v>0</v>
      </c>
      <c r="K24" s="973">
        <f>+landbouw!J8</f>
        <v>216.3964487379279</v>
      </c>
      <c r="L24" s="973">
        <f>+landbouw!K8</f>
        <v>0</v>
      </c>
      <c r="M24" s="973">
        <f>+landbouw!L8</f>
        <v>0</v>
      </c>
      <c r="N24" s="973">
        <f>+landbouw!M8</f>
        <v>0</v>
      </c>
      <c r="O24" s="973">
        <f>+landbouw!N8</f>
        <v>0</v>
      </c>
      <c r="P24" s="973">
        <f>+landbouw!O8</f>
        <v>0</v>
      </c>
      <c r="Q24" s="974">
        <f>+landbouw!P8</f>
        <v>0</v>
      </c>
      <c r="R24" s="668">
        <f>SUM(C24:Q24)</f>
        <v>8373.6957476484749</v>
      </c>
      <c r="S24" s="67"/>
    </row>
    <row r="25" spans="1:19" s="441" customFormat="1" ht="15" thickBot="1">
      <c r="A25" s="799" t="s">
        <v>808</v>
      </c>
      <c r="B25" s="976"/>
      <c r="C25" s="977">
        <f>IF(Onbekend_ele_kWh="---",0,Onbekend_ele_kWh)/1000+IF(REST_rest_ele_kWh="---",0,REST_rest_ele_kWh)/1000</f>
        <v>1599.62625705096</v>
      </c>
      <c r="D25" s="977"/>
      <c r="E25" s="977">
        <f>IF(onbekend_gas_kWh="---",0,onbekend_gas_kWh)/1000+IF(REST_rest_gas_kWh="---",0,REST_rest_gas_kWh)/1000</f>
        <v>6350.5697452561208</v>
      </c>
      <c r="F25" s="977"/>
      <c r="G25" s="977"/>
      <c r="H25" s="977"/>
      <c r="I25" s="977"/>
      <c r="J25" s="977"/>
      <c r="K25" s="977"/>
      <c r="L25" s="977"/>
      <c r="M25" s="977"/>
      <c r="N25" s="977"/>
      <c r="O25" s="977"/>
      <c r="P25" s="977"/>
      <c r="Q25" s="978"/>
      <c r="R25" s="668">
        <f>SUM(C25:Q25)</f>
        <v>7950.1960023070806</v>
      </c>
      <c r="S25" s="67"/>
    </row>
    <row r="26" spans="1:19" s="441" customFormat="1" ht="15.75" thickBot="1">
      <c r="A26" s="673" t="s">
        <v>809</v>
      </c>
      <c r="B26" s="785"/>
      <c r="C26" s="780">
        <f>SUM(C24:C25)</f>
        <v>3093.2668715250629</v>
      </c>
      <c r="D26" s="780">
        <f t="shared" ref="D26:R26" si="2">SUM(D24:D25)</f>
        <v>62.357142857142847</v>
      </c>
      <c r="E26" s="780">
        <f t="shared" si="2"/>
        <v>6685.54253927433</v>
      </c>
      <c r="F26" s="780">
        <f t="shared" si="2"/>
        <v>43.902659764395487</v>
      </c>
      <c r="G26" s="780">
        <f t="shared" si="2"/>
        <v>6222.4260877966963</v>
      </c>
      <c r="H26" s="780">
        <f t="shared" si="2"/>
        <v>0</v>
      </c>
      <c r="I26" s="780">
        <f t="shared" si="2"/>
        <v>0</v>
      </c>
      <c r="J26" s="780">
        <f t="shared" si="2"/>
        <v>0</v>
      </c>
      <c r="K26" s="780">
        <f t="shared" si="2"/>
        <v>216.3964487379279</v>
      </c>
      <c r="L26" s="780">
        <f t="shared" si="2"/>
        <v>0</v>
      </c>
      <c r="M26" s="780">
        <f t="shared" si="2"/>
        <v>0</v>
      </c>
      <c r="N26" s="780">
        <f t="shared" si="2"/>
        <v>0</v>
      </c>
      <c r="O26" s="780">
        <f t="shared" si="2"/>
        <v>0</v>
      </c>
      <c r="P26" s="780">
        <f t="shared" si="2"/>
        <v>0</v>
      </c>
      <c r="Q26" s="780">
        <f t="shared" si="2"/>
        <v>0</v>
      </c>
      <c r="R26" s="780">
        <f t="shared" si="2"/>
        <v>16323.891749955555</v>
      </c>
      <c r="S26" s="67"/>
    </row>
    <row r="27" spans="1:19" s="441" customFormat="1" ht="17.25" thickTop="1" thickBot="1">
      <c r="A27" s="674" t="s">
        <v>115</v>
      </c>
      <c r="B27" s="773"/>
      <c r="C27" s="675">
        <f ca="1">C22+C16+C26</f>
        <v>135220.69430864474</v>
      </c>
      <c r="D27" s="675">
        <f t="shared" ref="D27:R27" ca="1" si="3">D22+D16+D26</f>
        <v>62.357142857142847</v>
      </c>
      <c r="E27" s="675">
        <f t="shared" ca="1" si="3"/>
        <v>201947.55312297898</v>
      </c>
      <c r="F27" s="675">
        <f t="shared" si="3"/>
        <v>6290.8693450130222</v>
      </c>
      <c r="G27" s="675">
        <f t="shared" ca="1" si="3"/>
        <v>71690.04137501464</v>
      </c>
      <c r="H27" s="675">
        <f t="shared" si="3"/>
        <v>284320.66956780135</v>
      </c>
      <c r="I27" s="675">
        <f t="shared" si="3"/>
        <v>50006.589003160319</v>
      </c>
      <c r="J27" s="675">
        <f t="shared" si="3"/>
        <v>0</v>
      </c>
      <c r="K27" s="675">
        <f t="shared" si="3"/>
        <v>562.18145782587806</v>
      </c>
      <c r="L27" s="675">
        <f t="shared" si="3"/>
        <v>0</v>
      </c>
      <c r="M27" s="675">
        <f t="shared" ca="1" si="3"/>
        <v>0</v>
      </c>
      <c r="N27" s="675">
        <f t="shared" si="3"/>
        <v>18081.867510472668</v>
      </c>
      <c r="O27" s="675">
        <f t="shared" ca="1" si="3"/>
        <v>23549.062363323712</v>
      </c>
      <c r="P27" s="675">
        <f t="shared" si="3"/>
        <v>306.41333333333336</v>
      </c>
      <c r="Q27" s="675">
        <f t="shared" si="3"/>
        <v>1544.4</v>
      </c>
      <c r="R27" s="675">
        <f t="shared" ca="1" si="3"/>
        <v>793582.69853042578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7947.2859573127926</v>
      </c>
      <c r="D40" s="973">
        <f ca="1">tertiair!C20</f>
        <v>0</v>
      </c>
      <c r="E40" s="973">
        <f ca="1">tertiair!D20</f>
        <v>9117.0838980210719</v>
      </c>
      <c r="F40" s="973">
        <f>tertiair!E20</f>
        <v>143.71467650223966</v>
      </c>
      <c r="G40" s="973">
        <f ca="1">tertiair!F20</f>
        <v>1862.2646072973882</v>
      </c>
      <c r="H40" s="973">
        <f>tertiair!G20</f>
        <v>0</v>
      </c>
      <c r="I40" s="973">
        <f>tertiair!H20</f>
        <v>0</v>
      </c>
      <c r="J40" s="973">
        <f>tertiair!I20</f>
        <v>0</v>
      </c>
      <c r="K40" s="973">
        <f>tertiair!J20</f>
        <v>3.0579359729008243E-2</v>
      </c>
      <c r="L40" s="973">
        <f>tertiair!K20</f>
        <v>0</v>
      </c>
      <c r="M40" s="973">
        <f ca="1">tertiair!L20</f>
        <v>0</v>
      </c>
      <c r="N40" s="973">
        <f>tertiair!M20</f>
        <v>0</v>
      </c>
      <c r="O40" s="973">
        <f ca="1">tertiair!N20</f>
        <v>0</v>
      </c>
      <c r="P40" s="973">
        <f>tertiair!O20</f>
        <v>0</v>
      </c>
      <c r="Q40" s="742">
        <f>tertiair!P20</f>
        <v>0</v>
      </c>
      <c r="R40" s="818">
        <f t="shared" ca="1" si="4"/>
        <v>19070.379718493223</v>
      </c>
    </row>
    <row r="41" spans="1:18">
      <c r="A41" s="790" t="s">
        <v>219</v>
      </c>
      <c r="B41" s="797"/>
      <c r="C41" s="973">
        <f ca="1">huishoudens!B12</f>
        <v>9463.5615005179097</v>
      </c>
      <c r="D41" s="973">
        <f ca="1">huishoudens!C12</f>
        <v>0</v>
      </c>
      <c r="E41" s="973">
        <f>huishoudens!D12</f>
        <v>24839.430645696324</v>
      </c>
      <c r="F41" s="973">
        <f>huishoudens!E12</f>
        <v>429.8390326739821</v>
      </c>
      <c r="G41" s="973">
        <f>huishoudens!F12</f>
        <v>12809.171300115848</v>
      </c>
      <c r="H41" s="973">
        <f>huishoudens!G12</f>
        <v>0</v>
      </c>
      <c r="I41" s="973">
        <f>huishoudens!H12</f>
        <v>0</v>
      </c>
      <c r="J41" s="973">
        <f>huishoudens!I12</f>
        <v>0</v>
      </c>
      <c r="K41" s="973">
        <f>huishoudens!J12</f>
        <v>81.720031864487424</v>
      </c>
      <c r="L41" s="973">
        <f>huishoudens!K12</f>
        <v>0</v>
      </c>
      <c r="M41" s="973">
        <f>huishoudens!L12</f>
        <v>0</v>
      </c>
      <c r="N41" s="973">
        <f>huishoudens!M12</f>
        <v>0</v>
      </c>
      <c r="O41" s="973">
        <f>huishoudens!N12</f>
        <v>0</v>
      </c>
      <c r="P41" s="973">
        <f>huishoudens!O12</f>
        <v>0</v>
      </c>
      <c r="Q41" s="742">
        <f>huishoudens!P12</f>
        <v>0</v>
      </c>
      <c r="R41" s="818">
        <f t="shared" ca="1" si="4"/>
        <v>47623.72251086856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8154.0945401374265</v>
      </c>
      <c r="D43" s="973">
        <f ca="1">industrie!C22</f>
        <v>0</v>
      </c>
      <c r="E43" s="973">
        <f>industrie!D22</f>
        <v>5424.3275320596531</v>
      </c>
      <c r="F43" s="973">
        <f>industrie!E22</f>
        <v>714.66901089269538</v>
      </c>
      <c r="G43" s="973">
        <f>industrie!F22</f>
        <v>2808.4173742739572</v>
      </c>
      <c r="H43" s="973">
        <f>industrie!G22</f>
        <v>0</v>
      </c>
      <c r="I43" s="973">
        <f>industrie!H22</f>
        <v>0</v>
      </c>
      <c r="J43" s="973">
        <f>industrie!I22</f>
        <v>0</v>
      </c>
      <c r="K43" s="973">
        <f>industrie!J22</f>
        <v>40.657281992917923</v>
      </c>
      <c r="L43" s="973">
        <f>industrie!K22</f>
        <v>0</v>
      </c>
      <c r="M43" s="973">
        <f>industrie!L22</f>
        <v>0</v>
      </c>
      <c r="N43" s="973">
        <f>industrie!M22</f>
        <v>0</v>
      </c>
      <c r="O43" s="973">
        <f>industrie!N22</f>
        <v>0</v>
      </c>
      <c r="P43" s="973">
        <f>industrie!O22</f>
        <v>0</v>
      </c>
      <c r="Q43" s="742">
        <f>industrie!P22</f>
        <v>0</v>
      </c>
      <c r="R43" s="817">
        <f t="shared" ca="1" si="4"/>
        <v>17142.165739356649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25564.94199796813</v>
      </c>
      <c r="D46" s="700">
        <f t="shared" ref="D46:Q46" ca="1" si="5">SUM(D39:D45)</f>
        <v>0</v>
      </c>
      <c r="E46" s="700">
        <f t="shared" ca="1" si="5"/>
        <v>39380.842075777044</v>
      </c>
      <c r="F46" s="700">
        <f t="shared" si="5"/>
        <v>1288.2227200689172</v>
      </c>
      <c r="G46" s="700">
        <f t="shared" ca="1" si="5"/>
        <v>17479.853281687192</v>
      </c>
      <c r="H46" s="700">
        <f t="shared" si="5"/>
        <v>0</v>
      </c>
      <c r="I46" s="700">
        <f t="shared" si="5"/>
        <v>0</v>
      </c>
      <c r="J46" s="700">
        <f t="shared" si="5"/>
        <v>0</v>
      </c>
      <c r="K46" s="700">
        <f t="shared" si="5"/>
        <v>122.40789321713436</v>
      </c>
      <c r="L46" s="700">
        <f t="shared" si="5"/>
        <v>0</v>
      </c>
      <c r="M46" s="700">
        <f t="shared" ca="1" si="5"/>
        <v>0</v>
      </c>
      <c r="N46" s="700">
        <f t="shared" si="5"/>
        <v>0</v>
      </c>
      <c r="O46" s="700">
        <f t="shared" ca="1" si="5"/>
        <v>0</v>
      </c>
      <c r="P46" s="700">
        <f t="shared" si="5"/>
        <v>0</v>
      </c>
      <c r="Q46" s="700">
        <f t="shared" si="5"/>
        <v>0</v>
      </c>
      <c r="R46" s="700">
        <f ca="1">SUM(R39:R45)</f>
        <v>83836.267968718428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4.6321466315208548</v>
      </c>
      <c r="D49" s="973">
        <f ca="1">transport!C58</f>
        <v>0</v>
      </c>
      <c r="E49" s="973">
        <f>transport!D58</f>
        <v>0</v>
      </c>
      <c r="F49" s="973">
        <f>transport!E58</f>
        <v>0</v>
      </c>
      <c r="G49" s="973">
        <f>transport!F58</f>
        <v>0</v>
      </c>
      <c r="H49" s="973">
        <f>transport!G58</f>
        <v>599.51729826920086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604.14944490072173</v>
      </c>
    </row>
    <row r="50" spans="1:18">
      <c r="A50" s="793" t="s">
        <v>301</v>
      </c>
      <c r="B50" s="803"/>
      <c r="C50" s="671">
        <f ca="1">transport!B18</f>
        <v>36.070793760980955</v>
      </c>
      <c r="D50" s="671">
        <f>transport!C18</f>
        <v>0</v>
      </c>
      <c r="E50" s="671">
        <f>transport!D18</f>
        <v>62.084062131292036</v>
      </c>
      <c r="F50" s="671">
        <f>transport!E18</f>
        <v>129.83871748252125</v>
      </c>
      <c r="G50" s="671">
        <f>transport!F18</f>
        <v>0</v>
      </c>
      <c r="H50" s="671">
        <f>transport!G18</f>
        <v>75314.101476333759</v>
      </c>
      <c r="I50" s="671">
        <f>transport!H18</f>
        <v>12451.64066178692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87993.735711495479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40.702940392501809</v>
      </c>
      <c r="D52" s="700">
        <f t="shared" ref="D52:Q52" ca="1" si="6">SUM(D48:D51)</f>
        <v>0</v>
      </c>
      <c r="E52" s="700">
        <f t="shared" si="6"/>
        <v>62.084062131292036</v>
      </c>
      <c r="F52" s="700">
        <f t="shared" si="6"/>
        <v>129.83871748252125</v>
      </c>
      <c r="G52" s="700">
        <f t="shared" si="6"/>
        <v>0</v>
      </c>
      <c r="H52" s="700">
        <f t="shared" si="6"/>
        <v>75913.618774602961</v>
      </c>
      <c r="I52" s="700">
        <f t="shared" si="6"/>
        <v>12451.64066178692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88597.885156396194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289.460197489579</v>
      </c>
      <c r="D54" s="671">
        <f ca="1">+landbouw!C12</f>
        <v>0</v>
      </c>
      <c r="E54" s="671">
        <f>+landbouw!D12</f>
        <v>67.664504391678335</v>
      </c>
      <c r="F54" s="671">
        <f>+landbouw!E12</f>
        <v>9.9659037665177763</v>
      </c>
      <c r="G54" s="671">
        <f>+landbouw!F12</f>
        <v>1661.3877654417181</v>
      </c>
      <c r="H54" s="671">
        <f>+landbouw!G12</f>
        <v>0</v>
      </c>
      <c r="I54" s="671">
        <f>+landbouw!H12</f>
        <v>0</v>
      </c>
      <c r="J54" s="671">
        <f>+landbouw!I12</f>
        <v>0</v>
      </c>
      <c r="K54" s="671">
        <f>+landbouw!J12</f>
        <v>76.60434285322647</v>
      </c>
      <c r="L54" s="671">
        <f>+landbouw!K12</f>
        <v>0</v>
      </c>
      <c r="M54" s="671">
        <f>+landbouw!L12</f>
        <v>0</v>
      </c>
      <c r="N54" s="671">
        <f>+landbouw!M12</f>
        <v>0</v>
      </c>
      <c r="O54" s="671">
        <f>+landbouw!N12</f>
        <v>0</v>
      </c>
      <c r="P54" s="671">
        <f>+landbouw!O12</f>
        <v>0</v>
      </c>
      <c r="Q54" s="672">
        <f>+landbouw!P12</f>
        <v>0</v>
      </c>
      <c r="R54" s="699">
        <f ca="1">SUM(C54:Q54)</f>
        <v>2105.0827139427197</v>
      </c>
    </row>
    <row r="55" spans="1:18" ht="15" thickBot="1">
      <c r="A55" s="793" t="s">
        <v>808</v>
      </c>
      <c r="B55" s="803"/>
      <c r="C55" s="671">
        <f ca="1">C25*'EF ele_warmte'!B12</f>
        <v>309.99969322507667</v>
      </c>
      <c r="D55" s="671"/>
      <c r="E55" s="671">
        <f>E25*EF_CO2_aardgas</f>
        <v>1282.8150885417365</v>
      </c>
      <c r="F55" s="671"/>
      <c r="G55" s="671"/>
      <c r="H55" s="671"/>
      <c r="I55" s="671"/>
      <c r="J55" s="671"/>
      <c r="K55" s="671"/>
      <c r="L55" s="671"/>
      <c r="M55" s="671"/>
      <c r="N55" s="671"/>
      <c r="O55" s="671"/>
      <c r="P55" s="671"/>
      <c r="Q55" s="672"/>
      <c r="R55" s="699">
        <f ca="1">SUM(C55:Q55)</f>
        <v>1592.8147817668132</v>
      </c>
    </row>
    <row r="56" spans="1:18" ht="15.75" thickBot="1">
      <c r="A56" s="791" t="s">
        <v>809</v>
      </c>
      <c r="B56" s="804"/>
      <c r="C56" s="700">
        <f ca="1">SUM(C54:C55)</f>
        <v>599.45989071465567</v>
      </c>
      <c r="D56" s="700">
        <f t="shared" ref="D56:Q56" ca="1" si="7">SUM(D54:D55)</f>
        <v>0</v>
      </c>
      <c r="E56" s="700">
        <f t="shared" si="7"/>
        <v>1350.4795929334148</v>
      </c>
      <c r="F56" s="700">
        <f t="shared" si="7"/>
        <v>9.9659037665177763</v>
      </c>
      <c r="G56" s="700">
        <f t="shared" si="7"/>
        <v>1661.3877654417181</v>
      </c>
      <c r="H56" s="700">
        <f t="shared" si="7"/>
        <v>0</v>
      </c>
      <c r="I56" s="700">
        <f t="shared" si="7"/>
        <v>0</v>
      </c>
      <c r="J56" s="700">
        <f t="shared" si="7"/>
        <v>0</v>
      </c>
      <c r="K56" s="700">
        <f t="shared" si="7"/>
        <v>76.60434285322647</v>
      </c>
      <c r="L56" s="700">
        <f t="shared" si="7"/>
        <v>0</v>
      </c>
      <c r="M56" s="700">
        <f t="shared" si="7"/>
        <v>0</v>
      </c>
      <c r="N56" s="700">
        <f t="shared" si="7"/>
        <v>0</v>
      </c>
      <c r="O56" s="700">
        <f t="shared" si="7"/>
        <v>0</v>
      </c>
      <c r="P56" s="700">
        <f t="shared" si="7"/>
        <v>0</v>
      </c>
      <c r="Q56" s="701">
        <f t="shared" si="7"/>
        <v>0</v>
      </c>
      <c r="R56" s="702">
        <f ca="1">SUM(R54:R55)</f>
        <v>3697.8974957095329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26205.104829075288</v>
      </c>
      <c r="D61" s="708">
        <f t="shared" ref="D61:Q61" ca="1" si="8">D46+D52+D56</f>
        <v>0</v>
      </c>
      <c r="E61" s="708">
        <f t="shared" ca="1" si="8"/>
        <v>40793.405730841747</v>
      </c>
      <c r="F61" s="708">
        <f t="shared" si="8"/>
        <v>1428.0273413179561</v>
      </c>
      <c r="G61" s="708">
        <f t="shared" ca="1" si="8"/>
        <v>19141.241047128911</v>
      </c>
      <c r="H61" s="708">
        <f t="shared" si="8"/>
        <v>75913.618774602961</v>
      </c>
      <c r="I61" s="708">
        <f t="shared" si="8"/>
        <v>12451.64066178692</v>
      </c>
      <c r="J61" s="708">
        <f t="shared" si="8"/>
        <v>0</v>
      </c>
      <c r="K61" s="708">
        <f t="shared" si="8"/>
        <v>199.01223607036081</v>
      </c>
      <c r="L61" s="708">
        <f t="shared" si="8"/>
        <v>0</v>
      </c>
      <c r="M61" s="708">
        <f t="shared" ca="1" si="8"/>
        <v>0</v>
      </c>
      <c r="N61" s="708">
        <f t="shared" si="8"/>
        <v>0</v>
      </c>
      <c r="O61" s="708">
        <f t="shared" ca="1" si="8"/>
        <v>0</v>
      </c>
      <c r="P61" s="708">
        <f t="shared" si="8"/>
        <v>0</v>
      </c>
      <c r="Q61" s="708">
        <f t="shared" si="8"/>
        <v>0</v>
      </c>
      <c r="R61" s="708">
        <f ca="1">R46+R52+R56</f>
        <v>176132.05062082416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0.19379507673035207</v>
      </c>
      <c r="D63" s="749">
        <f t="shared" ca="1" si="9"/>
        <v>0</v>
      </c>
      <c r="E63" s="984">
        <f t="shared" ca="1" si="9"/>
        <v>0.20199999999999996</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16601.909335453391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16645.559335453392</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48832.827232683419</v>
      </c>
      <c r="C4" s="445">
        <f>huishoudens!C8</f>
        <v>0</v>
      </c>
      <c r="D4" s="445">
        <f>huishoudens!D8</f>
        <v>122967.4784440412</v>
      </c>
      <c r="E4" s="445">
        <f>huishoudens!E8</f>
        <v>1893.5640205902293</v>
      </c>
      <c r="F4" s="445">
        <f>huishoudens!F8</f>
        <v>47974.424345003172</v>
      </c>
      <c r="G4" s="445">
        <f>huishoudens!G8</f>
        <v>0</v>
      </c>
      <c r="H4" s="445">
        <f>huishoudens!H8</f>
        <v>0</v>
      </c>
      <c r="I4" s="445">
        <f>huishoudens!I8</f>
        <v>0</v>
      </c>
      <c r="J4" s="445">
        <f>huishoudens!J8</f>
        <v>230.84754763979501</v>
      </c>
      <c r="K4" s="445">
        <f>huishoudens!K8</f>
        <v>0</v>
      </c>
      <c r="L4" s="445">
        <f>huishoudens!L8</f>
        <v>0</v>
      </c>
      <c r="M4" s="445">
        <f>huishoudens!M8</f>
        <v>0</v>
      </c>
      <c r="N4" s="445">
        <f>huishoudens!N8</f>
        <v>16981.599900166548</v>
      </c>
      <c r="O4" s="445">
        <f>huishoudens!O8</f>
        <v>301.72333333333336</v>
      </c>
      <c r="P4" s="446">
        <f>huishoudens!P8</f>
        <v>1506.2666666666667</v>
      </c>
      <c r="Q4" s="447">
        <f>SUM(B4:P4)</f>
        <v>240688.73149012437</v>
      </c>
    </row>
    <row r="5" spans="1:17">
      <c r="A5" s="444" t="s">
        <v>155</v>
      </c>
      <c r="B5" s="445">
        <f ca="1">tertiair!B16</f>
        <v>39357.419258237278</v>
      </c>
      <c r="C5" s="445">
        <f ca="1">tertiair!C16</f>
        <v>0</v>
      </c>
      <c r="D5" s="445">
        <f ca="1">tertiair!D16</f>
        <v>45134.078703074607</v>
      </c>
      <c r="E5" s="445">
        <f>tertiair!E16</f>
        <v>633.10430177198089</v>
      </c>
      <c r="F5" s="445">
        <f ca="1">tertiair!F16</f>
        <v>6974.773810102577</v>
      </c>
      <c r="G5" s="445">
        <f>tertiair!G16</f>
        <v>0</v>
      </c>
      <c r="H5" s="445">
        <f>tertiair!H16</f>
        <v>0</v>
      </c>
      <c r="I5" s="445">
        <f>tertiair!I16</f>
        <v>0</v>
      </c>
      <c r="J5" s="445">
        <f>tertiair!J16</f>
        <v>8.6382372115842501E-2</v>
      </c>
      <c r="K5" s="445">
        <f>tertiair!K16</f>
        <v>0</v>
      </c>
      <c r="L5" s="445">
        <f ca="1">tertiair!L16</f>
        <v>0</v>
      </c>
      <c r="M5" s="445">
        <f>tertiair!M16</f>
        <v>0</v>
      </c>
      <c r="N5" s="445">
        <f ca="1">tertiair!N16</f>
        <v>3443.9527360323386</v>
      </c>
      <c r="O5" s="445">
        <f>tertiair!O16</f>
        <v>4.6900000000000004</v>
      </c>
      <c r="P5" s="446">
        <f>tertiair!P16</f>
        <v>38.133333333333333</v>
      </c>
      <c r="Q5" s="444">
        <f t="shared" ref="Q5:Q14" ca="1" si="0">SUM(B5:P5)</f>
        <v>95586.238524924236</v>
      </c>
    </row>
    <row r="6" spans="1:17">
      <c r="A6" s="444" t="s">
        <v>193</v>
      </c>
      <c r="B6" s="445">
        <f>'openbare verlichting'!B8</f>
        <v>1651.29</v>
      </c>
      <c r="C6" s="445"/>
      <c r="D6" s="445"/>
      <c r="E6" s="445"/>
      <c r="F6" s="445"/>
      <c r="G6" s="445"/>
      <c r="H6" s="445"/>
      <c r="I6" s="445"/>
      <c r="J6" s="445"/>
      <c r="K6" s="445"/>
      <c r="L6" s="445"/>
      <c r="M6" s="445"/>
      <c r="N6" s="445"/>
      <c r="O6" s="445"/>
      <c r="P6" s="446"/>
      <c r="Q6" s="444">
        <f t="shared" si="0"/>
        <v>1651.29</v>
      </c>
    </row>
    <row r="7" spans="1:17">
      <c r="A7" s="444" t="s">
        <v>111</v>
      </c>
      <c r="B7" s="445">
        <f>landbouw!B8</f>
        <v>1493.6406144741031</v>
      </c>
      <c r="C7" s="445">
        <f>landbouw!C8</f>
        <v>62.357142857142847</v>
      </c>
      <c r="D7" s="445">
        <f>landbouw!D8</f>
        <v>334.97279401820958</v>
      </c>
      <c r="E7" s="445">
        <f>landbouw!E8</f>
        <v>43.902659764395487</v>
      </c>
      <c r="F7" s="445">
        <f>landbouw!F8</f>
        <v>6222.4260877966963</v>
      </c>
      <c r="G7" s="445">
        <f>landbouw!G8</f>
        <v>0</v>
      </c>
      <c r="H7" s="445">
        <f>landbouw!H8</f>
        <v>0</v>
      </c>
      <c r="I7" s="445">
        <f>landbouw!I8</f>
        <v>0</v>
      </c>
      <c r="J7" s="445">
        <f>landbouw!J8</f>
        <v>216.3964487379279</v>
      </c>
      <c r="K7" s="445">
        <f>landbouw!K8</f>
        <v>0</v>
      </c>
      <c r="L7" s="445">
        <f>landbouw!L8</f>
        <v>0</v>
      </c>
      <c r="M7" s="445">
        <f>landbouw!M8</f>
        <v>0</v>
      </c>
      <c r="N7" s="445">
        <f>landbouw!N8</f>
        <v>0</v>
      </c>
      <c r="O7" s="445">
        <f>landbouw!O8</f>
        <v>0</v>
      </c>
      <c r="P7" s="446">
        <f>landbouw!P8</f>
        <v>0</v>
      </c>
      <c r="Q7" s="444">
        <f t="shared" si="0"/>
        <v>8373.6957476484749</v>
      </c>
    </row>
    <row r="8" spans="1:17">
      <c r="A8" s="444" t="s">
        <v>627</v>
      </c>
      <c r="B8" s="445">
        <f>industrie!B18</f>
        <v>42075.860118382137</v>
      </c>
      <c r="C8" s="445">
        <f>industrie!C18</f>
        <v>0</v>
      </c>
      <c r="D8" s="445">
        <f>industrie!D18</f>
        <v>26853.106594354715</v>
      </c>
      <c r="E8" s="445">
        <f>industrie!E18</f>
        <v>3148.3216338885259</v>
      </c>
      <c r="F8" s="445">
        <f>industrie!F18</f>
        <v>10518.417132112199</v>
      </c>
      <c r="G8" s="445">
        <f>industrie!G18</f>
        <v>0</v>
      </c>
      <c r="H8" s="445">
        <f>industrie!H18</f>
        <v>0</v>
      </c>
      <c r="I8" s="445">
        <f>industrie!I18</f>
        <v>0</v>
      </c>
      <c r="J8" s="445">
        <f>industrie!J18</f>
        <v>114.85107907603934</v>
      </c>
      <c r="K8" s="445">
        <f>industrie!K18</f>
        <v>0</v>
      </c>
      <c r="L8" s="445">
        <f>industrie!L18</f>
        <v>0</v>
      </c>
      <c r="M8" s="445">
        <f>industrie!M18</f>
        <v>0</v>
      </c>
      <c r="N8" s="445">
        <f>industrie!N18</f>
        <v>3123.5097271248287</v>
      </c>
      <c r="O8" s="445">
        <f>industrie!O18</f>
        <v>0</v>
      </c>
      <c r="P8" s="446">
        <f>industrie!P18</f>
        <v>0</v>
      </c>
      <c r="Q8" s="444">
        <f t="shared" si="0"/>
        <v>85834.066284938424</v>
      </c>
    </row>
    <row r="9" spans="1:17" s="450" customFormat="1">
      <c r="A9" s="448" t="s">
        <v>553</v>
      </c>
      <c r="B9" s="449">
        <f>transport!B14</f>
        <v>186.12853520097482</v>
      </c>
      <c r="C9" s="449">
        <f>transport!C14</f>
        <v>0</v>
      </c>
      <c r="D9" s="449">
        <f>transport!D14</f>
        <v>307.34684223411898</v>
      </c>
      <c r="E9" s="449">
        <f>transport!E14</f>
        <v>571.97672899789097</v>
      </c>
      <c r="F9" s="449">
        <f>transport!F14</f>
        <v>0</v>
      </c>
      <c r="G9" s="449">
        <f>transport!G14</f>
        <v>282075.28642821632</v>
      </c>
      <c r="H9" s="449">
        <f>transport!H14</f>
        <v>50006.589003160319</v>
      </c>
      <c r="I9" s="449">
        <f>transport!I14</f>
        <v>0</v>
      </c>
      <c r="J9" s="449">
        <f>transport!J14</f>
        <v>0</v>
      </c>
      <c r="K9" s="449">
        <f>transport!K14</f>
        <v>0</v>
      </c>
      <c r="L9" s="449">
        <f>transport!L14</f>
        <v>0</v>
      </c>
      <c r="M9" s="449">
        <f>transport!M14</f>
        <v>17952.562637262829</v>
      </c>
      <c r="N9" s="449">
        <f>transport!N14</f>
        <v>0</v>
      </c>
      <c r="O9" s="449">
        <f>transport!O14</f>
        <v>0</v>
      </c>
      <c r="P9" s="449">
        <f>transport!P14</f>
        <v>0</v>
      </c>
      <c r="Q9" s="448">
        <f>SUM(B9:P9)</f>
        <v>351099.89017507242</v>
      </c>
    </row>
    <row r="10" spans="1:17">
      <c r="A10" s="444" t="s">
        <v>543</v>
      </c>
      <c r="B10" s="445">
        <f>transport!B54</f>
        <v>23.902292615854524</v>
      </c>
      <c r="C10" s="445">
        <f>transport!C54</f>
        <v>0</v>
      </c>
      <c r="D10" s="445">
        <f>transport!D54</f>
        <v>0</v>
      </c>
      <c r="E10" s="445">
        <f>transport!E54</f>
        <v>0</v>
      </c>
      <c r="F10" s="445">
        <f>transport!F54</f>
        <v>0</v>
      </c>
      <c r="G10" s="445">
        <f>transport!G54</f>
        <v>2245.383139585022</v>
      </c>
      <c r="H10" s="445">
        <f>transport!H54</f>
        <v>0</v>
      </c>
      <c r="I10" s="445">
        <f>transport!I54</f>
        <v>0</v>
      </c>
      <c r="J10" s="445">
        <f>transport!J54</f>
        <v>0</v>
      </c>
      <c r="K10" s="445">
        <f>transport!K54</f>
        <v>0</v>
      </c>
      <c r="L10" s="445">
        <f>transport!L54</f>
        <v>0</v>
      </c>
      <c r="M10" s="445">
        <f>transport!M54</f>
        <v>129.30487320984037</v>
      </c>
      <c r="N10" s="445">
        <f>transport!N54</f>
        <v>0</v>
      </c>
      <c r="O10" s="445">
        <f>transport!O54</f>
        <v>0</v>
      </c>
      <c r="P10" s="446">
        <f>transport!P54</f>
        <v>0</v>
      </c>
      <c r="Q10" s="444">
        <f t="shared" si="0"/>
        <v>2398.5903054107171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1599.62625705096</v>
      </c>
      <c r="C14" s="452"/>
      <c r="D14" s="452">
        <f>'SEAP template'!E25</f>
        <v>6350.5697452561208</v>
      </c>
      <c r="E14" s="452"/>
      <c r="F14" s="452"/>
      <c r="G14" s="452"/>
      <c r="H14" s="452"/>
      <c r="I14" s="452"/>
      <c r="J14" s="452"/>
      <c r="K14" s="452"/>
      <c r="L14" s="452"/>
      <c r="M14" s="452"/>
      <c r="N14" s="452"/>
      <c r="O14" s="452"/>
      <c r="P14" s="453"/>
      <c r="Q14" s="444">
        <f t="shared" si="0"/>
        <v>7950.1960023070806</v>
      </c>
    </row>
    <row r="15" spans="1:17" s="454" customFormat="1">
      <c r="A15" s="999" t="s">
        <v>547</v>
      </c>
      <c r="B15" s="947">
        <f ca="1">SUM(B4:B14)</f>
        <v>135220.69430864471</v>
      </c>
      <c r="C15" s="947">
        <f t="shared" ref="C15:Q15" ca="1" si="1">SUM(C4:C14)</f>
        <v>62.357142857142847</v>
      </c>
      <c r="D15" s="947">
        <f t="shared" ca="1" si="1"/>
        <v>201947.55312297901</v>
      </c>
      <c r="E15" s="947">
        <f t="shared" si="1"/>
        <v>6290.8693450130222</v>
      </c>
      <c r="F15" s="947">
        <f t="shared" ca="1" si="1"/>
        <v>71690.04137501464</v>
      </c>
      <c r="G15" s="947">
        <f t="shared" si="1"/>
        <v>284320.66956780135</v>
      </c>
      <c r="H15" s="947">
        <f t="shared" si="1"/>
        <v>50006.589003160319</v>
      </c>
      <c r="I15" s="947">
        <f t="shared" si="1"/>
        <v>0</v>
      </c>
      <c r="J15" s="947">
        <f t="shared" si="1"/>
        <v>562.18145782587806</v>
      </c>
      <c r="K15" s="947">
        <f t="shared" si="1"/>
        <v>0</v>
      </c>
      <c r="L15" s="947">
        <f t="shared" ca="1" si="1"/>
        <v>0</v>
      </c>
      <c r="M15" s="947">
        <f t="shared" si="1"/>
        <v>18081.867510472668</v>
      </c>
      <c r="N15" s="947">
        <f t="shared" ca="1" si="1"/>
        <v>23549.062363323712</v>
      </c>
      <c r="O15" s="947">
        <f t="shared" si="1"/>
        <v>306.41333333333336</v>
      </c>
      <c r="P15" s="947">
        <f t="shared" si="1"/>
        <v>1544.4</v>
      </c>
      <c r="Q15" s="947">
        <f t="shared" ca="1" si="1"/>
        <v>793582.69853042567</v>
      </c>
    </row>
    <row r="17" spans="1:17">
      <c r="A17" s="455" t="s">
        <v>548</v>
      </c>
      <c r="B17" s="754">
        <f ca="1">huishoudens!B10</f>
        <v>0.19379507673035207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9463.5615005179097</v>
      </c>
      <c r="C22" s="445">
        <f t="shared" ref="C22:C32" ca="1" si="3">C4*$C$17</f>
        <v>0</v>
      </c>
      <c r="D22" s="445">
        <f t="shared" ref="D22:D32" si="4">D4*$D$17</f>
        <v>24839.430645696324</v>
      </c>
      <c r="E22" s="445">
        <f t="shared" ref="E22:E32" si="5">E4*$E$17</f>
        <v>429.8390326739821</v>
      </c>
      <c r="F22" s="445">
        <f t="shared" ref="F22:F32" si="6">F4*$F$17</f>
        <v>12809.171300115848</v>
      </c>
      <c r="G22" s="445">
        <f t="shared" ref="G22:G32" si="7">G4*$G$17</f>
        <v>0</v>
      </c>
      <c r="H22" s="445">
        <f t="shared" ref="H22:H32" si="8">H4*$H$17</f>
        <v>0</v>
      </c>
      <c r="I22" s="445">
        <f t="shared" ref="I22:I32" si="9">I4*$I$17</f>
        <v>0</v>
      </c>
      <c r="J22" s="445">
        <f t="shared" ref="J22:J32" si="10">J4*$J$17</f>
        <v>81.720031864487424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47623.72251086856</v>
      </c>
    </row>
    <row r="23" spans="1:17">
      <c r="A23" s="444" t="s">
        <v>155</v>
      </c>
      <c r="B23" s="445">
        <f t="shared" ca="1" si="2"/>
        <v>7627.2740850587297</v>
      </c>
      <c r="C23" s="445">
        <f t="shared" ca="1" si="3"/>
        <v>0</v>
      </c>
      <c r="D23" s="445">
        <f t="shared" ca="1" si="4"/>
        <v>9117.0838980210719</v>
      </c>
      <c r="E23" s="445">
        <f t="shared" si="5"/>
        <v>143.71467650223966</v>
      </c>
      <c r="F23" s="445">
        <f t="shared" ca="1" si="6"/>
        <v>1862.2646072973882</v>
      </c>
      <c r="G23" s="445">
        <f t="shared" si="7"/>
        <v>0</v>
      </c>
      <c r="H23" s="445">
        <f t="shared" si="8"/>
        <v>0</v>
      </c>
      <c r="I23" s="445">
        <f t="shared" si="9"/>
        <v>0</v>
      </c>
      <c r="J23" s="445">
        <f t="shared" si="10"/>
        <v>3.0579359729008243E-2</v>
      </c>
      <c r="K23" s="445">
        <f t="shared" si="11"/>
        <v>0</v>
      </c>
      <c r="L23" s="445">
        <f t="shared" ca="1" si="12"/>
        <v>0</v>
      </c>
      <c r="M23" s="445">
        <f t="shared" si="13"/>
        <v>0</v>
      </c>
      <c r="N23" s="445">
        <f t="shared" ca="1" si="14"/>
        <v>0</v>
      </c>
      <c r="O23" s="445">
        <f t="shared" si="15"/>
        <v>0</v>
      </c>
      <c r="P23" s="446">
        <f t="shared" si="16"/>
        <v>0</v>
      </c>
      <c r="Q23" s="444">
        <f t="shared" ref="Q23:Q32" ca="1" si="17">SUM(B23:P23)</f>
        <v>18750.367846239158</v>
      </c>
    </row>
    <row r="24" spans="1:17">
      <c r="A24" s="444" t="s">
        <v>193</v>
      </c>
      <c r="B24" s="445">
        <f t="shared" ca="1" si="2"/>
        <v>320.01187225406306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320.01187225406306</v>
      </c>
    </row>
    <row r="25" spans="1:17">
      <c r="A25" s="444" t="s">
        <v>111</v>
      </c>
      <c r="B25" s="445">
        <f t="shared" ca="1" si="2"/>
        <v>289.460197489579</v>
      </c>
      <c r="C25" s="445">
        <f t="shared" ca="1" si="3"/>
        <v>0</v>
      </c>
      <c r="D25" s="445">
        <f t="shared" si="4"/>
        <v>67.664504391678335</v>
      </c>
      <c r="E25" s="445">
        <f t="shared" si="5"/>
        <v>9.9659037665177763</v>
      </c>
      <c r="F25" s="445">
        <f t="shared" si="6"/>
        <v>1661.3877654417181</v>
      </c>
      <c r="G25" s="445">
        <f t="shared" si="7"/>
        <v>0</v>
      </c>
      <c r="H25" s="445">
        <f t="shared" si="8"/>
        <v>0</v>
      </c>
      <c r="I25" s="445">
        <f t="shared" si="9"/>
        <v>0</v>
      </c>
      <c r="J25" s="445">
        <f t="shared" si="10"/>
        <v>76.60434285322647</v>
      </c>
      <c r="K25" s="445">
        <f t="shared" si="11"/>
        <v>0</v>
      </c>
      <c r="L25" s="445">
        <f t="shared" si="12"/>
        <v>0</v>
      </c>
      <c r="M25" s="445">
        <f t="shared" si="13"/>
        <v>0</v>
      </c>
      <c r="N25" s="445">
        <f t="shared" si="14"/>
        <v>0</v>
      </c>
      <c r="O25" s="445">
        <f t="shared" si="15"/>
        <v>0</v>
      </c>
      <c r="P25" s="446">
        <f t="shared" si="16"/>
        <v>0</v>
      </c>
      <c r="Q25" s="444">
        <f t="shared" ca="1" si="17"/>
        <v>2105.0827139427197</v>
      </c>
    </row>
    <row r="26" spans="1:17">
      <c r="A26" s="444" t="s">
        <v>627</v>
      </c>
      <c r="B26" s="445">
        <f t="shared" ca="1" si="2"/>
        <v>8154.0945401374265</v>
      </c>
      <c r="C26" s="445">
        <f t="shared" ca="1" si="3"/>
        <v>0</v>
      </c>
      <c r="D26" s="445">
        <f t="shared" si="4"/>
        <v>5424.3275320596531</v>
      </c>
      <c r="E26" s="445">
        <f t="shared" si="5"/>
        <v>714.66901089269538</v>
      </c>
      <c r="F26" s="445">
        <f t="shared" si="6"/>
        <v>2808.4173742739572</v>
      </c>
      <c r="G26" s="445">
        <f t="shared" si="7"/>
        <v>0</v>
      </c>
      <c r="H26" s="445">
        <f t="shared" si="8"/>
        <v>0</v>
      </c>
      <c r="I26" s="445">
        <f t="shared" si="9"/>
        <v>0</v>
      </c>
      <c r="J26" s="445">
        <f t="shared" si="10"/>
        <v>40.657281992917923</v>
      </c>
      <c r="K26" s="445">
        <f t="shared" si="11"/>
        <v>0</v>
      </c>
      <c r="L26" s="445">
        <f t="shared" si="12"/>
        <v>0</v>
      </c>
      <c r="M26" s="445">
        <f t="shared" si="13"/>
        <v>0</v>
      </c>
      <c r="N26" s="445">
        <f t="shared" si="14"/>
        <v>0</v>
      </c>
      <c r="O26" s="445">
        <f t="shared" si="15"/>
        <v>0</v>
      </c>
      <c r="P26" s="446">
        <f t="shared" si="16"/>
        <v>0</v>
      </c>
      <c r="Q26" s="444">
        <f t="shared" ca="1" si="17"/>
        <v>17142.165739356649</v>
      </c>
    </row>
    <row r="27" spans="1:17" s="450" customFormat="1">
      <c r="A27" s="448" t="s">
        <v>553</v>
      </c>
      <c r="B27" s="748">
        <f t="shared" ca="1" si="2"/>
        <v>36.070793760980955</v>
      </c>
      <c r="C27" s="449">
        <f t="shared" ca="1" si="3"/>
        <v>0</v>
      </c>
      <c r="D27" s="449">
        <f t="shared" si="4"/>
        <v>62.084062131292036</v>
      </c>
      <c r="E27" s="449">
        <f t="shared" si="5"/>
        <v>129.83871748252125</v>
      </c>
      <c r="F27" s="449">
        <f t="shared" si="6"/>
        <v>0</v>
      </c>
      <c r="G27" s="449">
        <f t="shared" si="7"/>
        <v>75314.101476333759</v>
      </c>
      <c r="H27" s="449">
        <f t="shared" si="8"/>
        <v>12451.64066178692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87993.735711495479</v>
      </c>
    </row>
    <row r="28" spans="1:17">
      <c r="A28" s="444" t="s">
        <v>543</v>
      </c>
      <c r="B28" s="445">
        <f t="shared" ca="1" si="2"/>
        <v>4.6321466315208548</v>
      </c>
      <c r="C28" s="445">
        <f t="shared" ca="1" si="3"/>
        <v>0</v>
      </c>
      <c r="D28" s="445">
        <f t="shared" si="4"/>
        <v>0</v>
      </c>
      <c r="E28" s="445">
        <f t="shared" si="5"/>
        <v>0</v>
      </c>
      <c r="F28" s="445">
        <f t="shared" si="6"/>
        <v>0</v>
      </c>
      <c r="G28" s="445">
        <f t="shared" si="7"/>
        <v>599.51729826920086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604.14944490072173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309.99969322507667</v>
      </c>
      <c r="C32" s="445">
        <f t="shared" ca="1" si="3"/>
        <v>0</v>
      </c>
      <c r="D32" s="445">
        <f t="shared" si="4"/>
        <v>1282.8150885417365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1592.8147817668132</v>
      </c>
    </row>
    <row r="33" spans="1:17" s="454" customFormat="1">
      <c r="A33" s="999" t="s">
        <v>547</v>
      </c>
      <c r="B33" s="947">
        <f ca="1">SUM(B22:B32)</f>
        <v>26205.104829075284</v>
      </c>
      <c r="C33" s="947">
        <f t="shared" ref="C33:Q33" ca="1" si="18">SUM(C22:C32)</f>
        <v>0</v>
      </c>
      <c r="D33" s="947">
        <f t="shared" ca="1" si="18"/>
        <v>40793.405730841747</v>
      </c>
      <c r="E33" s="947">
        <f t="shared" si="18"/>
        <v>1428.0273413179561</v>
      </c>
      <c r="F33" s="947">
        <f t="shared" ca="1" si="18"/>
        <v>19141.241047128911</v>
      </c>
      <c r="G33" s="947">
        <f t="shared" si="18"/>
        <v>75913.618774602961</v>
      </c>
      <c r="H33" s="947">
        <f t="shared" si="18"/>
        <v>12451.64066178692</v>
      </c>
      <c r="I33" s="947">
        <f t="shared" si="18"/>
        <v>0</v>
      </c>
      <c r="J33" s="947">
        <f t="shared" si="18"/>
        <v>199.01223607036081</v>
      </c>
      <c r="K33" s="947">
        <f t="shared" si="18"/>
        <v>0</v>
      </c>
      <c r="L33" s="947">
        <f t="shared" ca="1" si="18"/>
        <v>0</v>
      </c>
      <c r="M33" s="947">
        <f t="shared" si="18"/>
        <v>0</v>
      </c>
      <c r="N33" s="947">
        <f t="shared" ca="1" si="18"/>
        <v>0</v>
      </c>
      <c r="O33" s="947">
        <f t="shared" si="18"/>
        <v>0</v>
      </c>
      <c r="P33" s="947">
        <f t="shared" si="18"/>
        <v>0</v>
      </c>
      <c r="Q33" s="947">
        <f t="shared" ca="1" si="18"/>
        <v>176132.05062082416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16601.909335453391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16645.559335453392</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0.19379507673035207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0.19379507673035207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0.19379507673035207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0.19379507673035207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12082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1839.34</v>
      </c>
      <c r="C14" s="324"/>
      <c r="D14" s="324"/>
      <c r="E14" s="324"/>
      <c r="F14" s="324"/>
    </row>
    <row r="15" spans="1:6">
      <c r="A15" s="1291" t="s">
        <v>183</v>
      </c>
      <c r="B15" s="1292">
        <v>500</v>
      </c>
      <c r="C15" s="324"/>
      <c r="D15" s="324"/>
      <c r="E15" s="324"/>
      <c r="F15" s="324"/>
    </row>
    <row r="16" spans="1:6">
      <c r="A16" s="1291" t="s">
        <v>6</v>
      </c>
      <c r="B16" s="1292">
        <v>1234</v>
      </c>
      <c r="C16" s="324"/>
      <c r="D16" s="324"/>
      <c r="E16" s="324"/>
      <c r="F16" s="324"/>
    </row>
    <row r="17" spans="1:6">
      <c r="A17" s="1291" t="s">
        <v>7</v>
      </c>
      <c r="B17" s="1292">
        <v>683</v>
      </c>
      <c r="C17" s="324"/>
      <c r="D17" s="324"/>
      <c r="E17" s="324"/>
      <c r="F17" s="324"/>
    </row>
    <row r="18" spans="1:6">
      <c r="A18" s="1291" t="s">
        <v>8</v>
      </c>
      <c r="B18" s="1292">
        <v>1134</v>
      </c>
      <c r="C18" s="324"/>
      <c r="D18" s="324"/>
      <c r="E18" s="324"/>
      <c r="F18" s="324"/>
    </row>
    <row r="19" spans="1:6">
      <c r="A19" s="1291" t="s">
        <v>9</v>
      </c>
      <c r="B19" s="1292">
        <v>833</v>
      </c>
      <c r="C19" s="324"/>
      <c r="D19" s="324"/>
      <c r="E19" s="324"/>
      <c r="F19" s="324"/>
    </row>
    <row r="20" spans="1:6">
      <c r="A20" s="1291" t="s">
        <v>10</v>
      </c>
      <c r="B20" s="1292">
        <v>588</v>
      </c>
      <c r="C20" s="324"/>
      <c r="D20" s="324"/>
      <c r="E20" s="324"/>
      <c r="F20" s="324"/>
    </row>
    <row r="21" spans="1:6">
      <c r="A21" s="1291" t="s">
        <v>11</v>
      </c>
      <c r="B21" s="1292">
        <v>4294</v>
      </c>
      <c r="C21" s="324"/>
      <c r="D21" s="324"/>
      <c r="E21" s="324"/>
      <c r="F21" s="324"/>
    </row>
    <row r="22" spans="1:6">
      <c r="A22" s="1291" t="s">
        <v>12</v>
      </c>
      <c r="B22" s="1292">
        <v>8262</v>
      </c>
      <c r="C22" s="324"/>
      <c r="D22" s="324"/>
      <c r="E22" s="324"/>
      <c r="F22" s="324"/>
    </row>
    <row r="23" spans="1:6">
      <c r="A23" s="1291" t="s">
        <v>13</v>
      </c>
      <c r="B23" s="1292">
        <v>230</v>
      </c>
      <c r="C23" s="324"/>
      <c r="D23" s="324"/>
      <c r="E23" s="324"/>
      <c r="F23" s="324"/>
    </row>
    <row r="24" spans="1:6">
      <c r="A24" s="1291" t="s">
        <v>14</v>
      </c>
      <c r="B24" s="1292">
        <v>9</v>
      </c>
      <c r="C24" s="324"/>
      <c r="D24" s="324"/>
      <c r="E24" s="324"/>
      <c r="F24" s="324"/>
    </row>
    <row r="25" spans="1:6">
      <c r="A25" s="1291" t="s">
        <v>15</v>
      </c>
      <c r="B25" s="1292">
        <v>1093</v>
      </c>
      <c r="C25" s="324"/>
      <c r="D25" s="324"/>
      <c r="E25" s="324"/>
      <c r="F25" s="324"/>
    </row>
    <row r="26" spans="1:6">
      <c r="A26" s="1291" t="s">
        <v>16</v>
      </c>
      <c r="B26" s="1292">
        <v>241</v>
      </c>
      <c r="C26" s="324"/>
      <c r="D26" s="324"/>
      <c r="E26" s="324"/>
      <c r="F26" s="324"/>
    </row>
    <row r="27" spans="1:6">
      <c r="A27" s="1291" t="s">
        <v>17</v>
      </c>
      <c r="B27" s="1292">
        <v>0</v>
      </c>
      <c r="C27" s="324"/>
      <c r="D27" s="324"/>
      <c r="E27" s="324"/>
      <c r="F27" s="324"/>
    </row>
    <row r="28" spans="1:6" s="43" customFormat="1">
      <c r="A28" s="1293" t="s">
        <v>18</v>
      </c>
      <c r="B28" s="1294">
        <v>63421</v>
      </c>
      <c r="C28" s="330"/>
      <c r="D28" s="330"/>
      <c r="E28" s="330"/>
      <c r="F28" s="330"/>
    </row>
    <row r="29" spans="1:6">
      <c r="A29" s="1293" t="s">
        <v>722</v>
      </c>
      <c r="B29" s="1294">
        <v>153</v>
      </c>
      <c r="C29" s="330"/>
      <c r="D29" s="330"/>
      <c r="E29" s="330"/>
      <c r="F29" s="330"/>
    </row>
    <row r="30" spans="1:6">
      <c r="A30" s="1286" t="s">
        <v>723</v>
      </c>
      <c r="B30" s="1295">
        <v>24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14747.5814419376</v>
      </c>
    </row>
    <row r="37" spans="1:6">
      <c r="A37" s="1291" t="s">
        <v>24</v>
      </c>
      <c r="B37" s="1291" t="s">
        <v>27</v>
      </c>
      <c r="C37" s="1292">
        <v>0</v>
      </c>
      <c r="D37" s="1292">
        <v>0</v>
      </c>
      <c r="E37" s="1292">
        <v>0</v>
      </c>
      <c r="F37" s="1292">
        <v>0</v>
      </c>
    </row>
    <row r="38" spans="1:6">
      <c r="A38" s="1291" t="s">
        <v>24</v>
      </c>
      <c r="B38" s="1291" t="s">
        <v>28</v>
      </c>
      <c r="C38" s="1292">
        <v>2</v>
      </c>
      <c r="D38" s="1292">
        <v>182850.88185343301</v>
      </c>
      <c r="E38" s="1292">
        <v>2</v>
      </c>
      <c r="F38" s="1292">
        <v>9426.4932967479999</v>
      </c>
    </row>
    <row r="39" spans="1:6">
      <c r="A39" s="1291" t="s">
        <v>29</v>
      </c>
      <c r="B39" s="1291" t="s">
        <v>30</v>
      </c>
      <c r="C39" s="1292">
        <v>9208</v>
      </c>
      <c r="D39" s="1292">
        <v>136327581.423549</v>
      </c>
      <c r="E39" s="1292">
        <v>11838</v>
      </c>
      <c r="F39" s="1292">
        <v>43247521.357790701</v>
      </c>
    </row>
    <row r="40" spans="1:6">
      <c r="A40" s="1291" t="s">
        <v>29</v>
      </c>
      <c r="B40" s="1291" t="s">
        <v>28</v>
      </c>
      <c r="C40" s="1292">
        <v>0</v>
      </c>
      <c r="D40" s="1292">
        <v>0</v>
      </c>
      <c r="E40" s="1292">
        <v>1</v>
      </c>
      <c r="F40" s="1292">
        <v>20635.580146632699</v>
      </c>
    </row>
    <row r="41" spans="1:6">
      <c r="A41" s="1291" t="s">
        <v>31</v>
      </c>
      <c r="B41" s="1291" t="s">
        <v>32</v>
      </c>
      <c r="C41" s="1292">
        <v>151</v>
      </c>
      <c r="D41" s="1292">
        <v>7242152.8430110002</v>
      </c>
      <c r="E41" s="1292">
        <v>269</v>
      </c>
      <c r="F41" s="1292">
        <v>4630204.02458914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10</v>
      </c>
      <c r="D44" s="1292">
        <v>949307.99264453701</v>
      </c>
      <c r="E44" s="1292">
        <v>28</v>
      </c>
      <c r="F44" s="1292">
        <v>1798114.5614601399</v>
      </c>
    </row>
    <row r="45" spans="1:6">
      <c r="A45" s="1291" t="s">
        <v>31</v>
      </c>
      <c r="B45" s="1291" t="s">
        <v>36</v>
      </c>
      <c r="C45" s="1292">
        <v>0</v>
      </c>
      <c r="D45" s="1292">
        <v>0</v>
      </c>
      <c r="E45" s="1292">
        <v>4</v>
      </c>
      <c r="F45" s="1292">
        <v>192049.04716073599</v>
      </c>
    </row>
    <row r="46" spans="1:6">
      <c r="A46" s="1291" t="s">
        <v>31</v>
      </c>
      <c r="B46" s="1291" t="s">
        <v>37</v>
      </c>
      <c r="C46" s="1292">
        <v>0</v>
      </c>
      <c r="D46" s="1292">
        <v>0</v>
      </c>
      <c r="E46" s="1292">
        <v>0</v>
      </c>
      <c r="F46" s="1292">
        <v>0</v>
      </c>
    </row>
    <row r="47" spans="1:6">
      <c r="A47" s="1291" t="s">
        <v>31</v>
      </c>
      <c r="B47" s="1291" t="s">
        <v>38</v>
      </c>
      <c r="C47" s="1292">
        <v>4</v>
      </c>
      <c r="D47" s="1292">
        <v>80669.518831141206</v>
      </c>
      <c r="E47" s="1292">
        <v>8</v>
      </c>
      <c r="F47" s="1292">
        <v>650926.24469539896</v>
      </c>
    </row>
    <row r="48" spans="1:6">
      <c r="A48" s="1291" t="s">
        <v>31</v>
      </c>
      <c r="B48" s="1291" t="s">
        <v>28</v>
      </c>
      <c r="C48" s="1292">
        <v>54</v>
      </c>
      <c r="D48" s="1292">
        <v>19356589.2301828</v>
      </c>
      <c r="E48" s="1292">
        <v>54</v>
      </c>
      <c r="F48" s="1292">
        <v>31965201.285417899</v>
      </c>
    </row>
    <row r="49" spans="1:6">
      <c r="A49" s="1291" t="s">
        <v>31</v>
      </c>
      <c r="B49" s="1291" t="s">
        <v>39</v>
      </c>
      <c r="C49" s="1292">
        <v>3</v>
      </c>
      <c r="D49" s="1292">
        <v>119860.417624366</v>
      </c>
      <c r="E49" s="1292">
        <v>7</v>
      </c>
      <c r="F49" s="1292">
        <v>942543.44567968103</v>
      </c>
    </row>
    <row r="50" spans="1:6">
      <c r="A50" s="1291" t="s">
        <v>31</v>
      </c>
      <c r="B50" s="1291" t="s">
        <v>40</v>
      </c>
      <c r="C50" s="1292">
        <v>23</v>
      </c>
      <c r="D50" s="1292">
        <v>2022048.15109276</v>
      </c>
      <c r="E50" s="1292">
        <v>27</v>
      </c>
      <c r="F50" s="1292">
        <v>1896821.5093791401</v>
      </c>
    </row>
    <row r="51" spans="1:6">
      <c r="A51" s="1291" t="s">
        <v>41</v>
      </c>
      <c r="B51" s="1291" t="s">
        <v>42</v>
      </c>
      <c r="C51" s="1292">
        <v>3</v>
      </c>
      <c r="D51" s="1292">
        <v>59589.306158608997</v>
      </c>
      <c r="E51" s="1292">
        <v>92</v>
      </c>
      <c r="F51" s="1292">
        <v>1434035.0706078501</v>
      </c>
    </row>
    <row r="52" spans="1:6">
      <c r="A52" s="1291" t="s">
        <v>41</v>
      </c>
      <c r="B52" s="1291" t="s">
        <v>28</v>
      </c>
      <c r="C52" s="1292">
        <v>13</v>
      </c>
      <c r="D52" s="1292">
        <v>311777.42778619099</v>
      </c>
      <c r="E52" s="1292">
        <v>9</v>
      </c>
      <c r="F52" s="1292">
        <v>59605.543866253</v>
      </c>
    </row>
    <row r="53" spans="1:6">
      <c r="A53" s="1291" t="s">
        <v>43</v>
      </c>
      <c r="B53" s="1291" t="s">
        <v>44</v>
      </c>
      <c r="C53" s="1292">
        <v>213</v>
      </c>
      <c r="D53" s="1292">
        <v>6350569.7452561203</v>
      </c>
      <c r="E53" s="1292">
        <v>439</v>
      </c>
      <c r="F53" s="1292">
        <v>1599626.2570509601</v>
      </c>
    </row>
    <row r="54" spans="1:6">
      <c r="A54" s="1291" t="s">
        <v>45</v>
      </c>
      <c r="B54" s="1291" t="s">
        <v>46</v>
      </c>
      <c r="C54" s="1292">
        <v>0</v>
      </c>
      <c r="D54" s="1292">
        <v>0</v>
      </c>
      <c r="E54" s="1292">
        <v>1</v>
      </c>
      <c r="F54" s="1292">
        <v>1651290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105</v>
      </c>
      <c r="D57" s="1292">
        <v>4759226.6931093698</v>
      </c>
      <c r="E57" s="1292">
        <v>186</v>
      </c>
      <c r="F57" s="1292">
        <v>3346000.20472416</v>
      </c>
    </row>
    <row r="58" spans="1:6">
      <c r="A58" s="1291" t="s">
        <v>48</v>
      </c>
      <c r="B58" s="1291" t="s">
        <v>50</v>
      </c>
      <c r="C58" s="1292">
        <v>48</v>
      </c>
      <c r="D58" s="1292">
        <v>2771547.4518806399</v>
      </c>
      <c r="E58" s="1292">
        <v>61</v>
      </c>
      <c r="F58" s="1292">
        <v>1248526.33438006</v>
      </c>
    </row>
    <row r="59" spans="1:6">
      <c r="A59" s="1291" t="s">
        <v>48</v>
      </c>
      <c r="B59" s="1291" t="s">
        <v>51</v>
      </c>
      <c r="C59" s="1292">
        <v>228</v>
      </c>
      <c r="D59" s="1292">
        <v>14615307.7815951</v>
      </c>
      <c r="E59" s="1292">
        <v>400</v>
      </c>
      <c r="F59" s="1292">
        <v>14260371.8896662</v>
      </c>
    </row>
    <row r="60" spans="1:6">
      <c r="A60" s="1291" t="s">
        <v>48</v>
      </c>
      <c r="B60" s="1291" t="s">
        <v>52</v>
      </c>
      <c r="C60" s="1292">
        <v>103</v>
      </c>
      <c r="D60" s="1292">
        <v>5239432.9540611897</v>
      </c>
      <c r="E60" s="1292">
        <v>105</v>
      </c>
      <c r="F60" s="1292">
        <v>2337609.18825706</v>
      </c>
    </row>
    <row r="61" spans="1:6">
      <c r="A61" s="1291" t="s">
        <v>48</v>
      </c>
      <c r="B61" s="1291" t="s">
        <v>53</v>
      </c>
      <c r="C61" s="1292">
        <v>263</v>
      </c>
      <c r="D61" s="1292">
        <v>12140587.988152601</v>
      </c>
      <c r="E61" s="1292">
        <v>565</v>
      </c>
      <c r="F61" s="1292">
        <v>11972461.268071299</v>
      </c>
    </row>
    <row r="62" spans="1:6">
      <c r="A62" s="1291" t="s">
        <v>48</v>
      </c>
      <c r="B62" s="1291" t="s">
        <v>54</v>
      </c>
      <c r="C62" s="1292">
        <v>16</v>
      </c>
      <c r="D62" s="1292">
        <v>1742806.2796452499</v>
      </c>
      <c r="E62" s="1292">
        <v>18</v>
      </c>
      <c r="F62" s="1292">
        <v>512631.95848403999</v>
      </c>
    </row>
    <row r="63" spans="1:6">
      <c r="A63" s="1291" t="s">
        <v>48</v>
      </c>
      <c r="B63" s="1291" t="s">
        <v>28</v>
      </c>
      <c r="C63" s="1292">
        <v>96</v>
      </c>
      <c r="D63" s="1292">
        <v>8768872.1188226007</v>
      </c>
      <c r="E63" s="1292">
        <v>87</v>
      </c>
      <c r="F63" s="1292">
        <v>5679818.4146544598</v>
      </c>
    </row>
    <row r="64" spans="1:6">
      <c r="A64" s="1291" t="s">
        <v>55</v>
      </c>
      <c r="B64" s="1291" t="s">
        <v>56</v>
      </c>
      <c r="C64" s="1292">
        <v>0</v>
      </c>
      <c r="D64" s="1292">
        <v>0</v>
      </c>
      <c r="E64" s="1292">
        <v>0</v>
      </c>
      <c r="F64" s="1292">
        <v>0</v>
      </c>
    </row>
    <row r="65" spans="1:6">
      <c r="A65" s="1291" t="s">
        <v>55</v>
      </c>
      <c r="B65" s="1291" t="s">
        <v>28</v>
      </c>
      <c r="C65" s="1292">
        <v>4</v>
      </c>
      <c r="D65" s="1292">
        <v>168700.192664659</v>
      </c>
      <c r="E65" s="1292">
        <v>2</v>
      </c>
      <c r="F65" s="1292">
        <v>36393.1450028299</v>
      </c>
    </row>
    <row r="66" spans="1:6">
      <c r="A66" s="1291" t="s">
        <v>55</v>
      </c>
      <c r="B66" s="1291" t="s">
        <v>57</v>
      </c>
      <c r="C66" s="1292">
        <v>0</v>
      </c>
      <c r="D66" s="1292">
        <v>0</v>
      </c>
      <c r="E66" s="1292">
        <v>17</v>
      </c>
      <c r="F66" s="1292">
        <v>719016.30070247804</v>
      </c>
    </row>
    <row r="67" spans="1:6">
      <c r="A67" s="1293" t="s">
        <v>55</v>
      </c>
      <c r="B67" s="1293" t="s">
        <v>58</v>
      </c>
      <c r="C67" s="1292">
        <v>0</v>
      </c>
      <c r="D67" s="1292">
        <v>0</v>
      </c>
      <c r="E67" s="1292">
        <v>0</v>
      </c>
      <c r="F67" s="1292">
        <v>0</v>
      </c>
    </row>
    <row r="68" spans="1:6">
      <c r="A68" s="1286" t="s">
        <v>55</v>
      </c>
      <c r="B68" s="1286" t="s">
        <v>59</v>
      </c>
      <c r="C68" s="1295">
        <v>10</v>
      </c>
      <c r="D68" s="1295">
        <v>419364.52592230402</v>
      </c>
      <c r="E68" s="1295">
        <v>21</v>
      </c>
      <c r="F68" s="1295">
        <v>528716.41245959804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108858377</v>
      </c>
      <c r="E73" s="443"/>
      <c r="F73" s="324"/>
    </row>
    <row r="74" spans="1:6">
      <c r="A74" s="1291" t="s">
        <v>63</v>
      </c>
      <c r="B74" s="1291" t="s">
        <v>648</v>
      </c>
      <c r="C74" s="1305" t="s">
        <v>650</v>
      </c>
      <c r="D74" s="1306">
        <v>11773396</v>
      </c>
      <c r="E74" s="443"/>
      <c r="F74" s="324"/>
    </row>
    <row r="75" spans="1:6">
      <c r="A75" s="1291" t="s">
        <v>64</v>
      </c>
      <c r="B75" s="1291" t="s">
        <v>647</v>
      </c>
      <c r="C75" s="1305" t="s">
        <v>651</v>
      </c>
      <c r="D75" s="1306">
        <v>82166505</v>
      </c>
      <c r="E75" s="443"/>
      <c r="F75" s="324"/>
    </row>
    <row r="76" spans="1:6">
      <c r="A76" s="1291" t="s">
        <v>64</v>
      </c>
      <c r="B76" s="1291" t="s">
        <v>648</v>
      </c>
      <c r="C76" s="1305" t="s">
        <v>652</v>
      </c>
      <c r="D76" s="1306">
        <v>3933688</v>
      </c>
      <c r="E76" s="443"/>
      <c r="F76" s="324"/>
    </row>
    <row r="77" spans="1:6">
      <c r="A77" s="1291" t="s">
        <v>65</v>
      </c>
      <c r="B77" s="1291" t="s">
        <v>647</v>
      </c>
      <c r="C77" s="1305" t="s">
        <v>653</v>
      </c>
      <c r="D77" s="1306">
        <v>126816099</v>
      </c>
      <c r="E77" s="443"/>
      <c r="F77" s="324"/>
    </row>
    <row r="78" spans="1:6">
      <c r="A78" s="1286" t="s">
        <v>65</v>
      </c>
      <c r="B78" s="1286" t="s">
        <v>648</v>
      </c>
      <c r="C78" s="1286" t="s">
        <v>654</v>
      </c>
      <c r="D78" s="1307">
        <v>31414034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652384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5564.6702947460872</v>
      </c>
      <c r="C91" s="324"/>
      <c r="D91" s="324"/>
      <c r="E91" s="324"/>
      <c r="F91" s="324"/>
    </row>
    <row r="92" spans="1:6">
      <c r="A92" s="1286" t="s">
        <v>68</v>
      </c>
      <c r="B92" s="1287">
        <v>11037.239040707304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5711</v>
      </c>
      <c r="C97" s="324"/>
      <c r="D97" s="324"/>
      <c r="E97" s="324"/>
      <c r="F97" s="324"/>
    </row>
    <row r="98" spans="1:6">
      <c r="A98" s="1291" t="s">
        <v>71</v>
      </c>
      <c r="B98" s="1292">
        <v>8</v>
      </c>
      <c r="C98" s="324"/>
      <c r="D98" s="324"/>
      <c r="E98" s="324"/>
      <c r="F98" s="324"/>
    </row>
    <row r="99" spans="1:6">
      <c r="A99" s="1291" t="s">
        <v>72</v>
      </c>
      <c r="B99" s="1292">
        <v>124</v>
      </c>
      <c r="C99" s="324"/>
      <c r="D99" s="324"/>
      <c r="E99" s="324"/>
      <c r="F99" s="324"/>
    </row>
    <row r="100" spans="1:6">
      <c r="A100" s="1291" t="s">
        <v>73</v>
      </c>
      <c r="B100" s="1292">
        <v>1048</v>
      </c>
      <c r="C100" s="324"/>
      <c r="D100" s="324"/>
      <c r="E100" s="324"/>
      <c r="F100" s="324"/>
    </row>
    <row r="101" spans="1:6">
      <c r="A101" s="1291" t="s">
        <v>74</v>
      </c>
      <c r="B101" s="1292">
        <v>153</v>
      </c>
      <c r="C101" s="324"/>
      <c r="D101" s="324"/>
      <c r="E101" s="324"/>
      <c r="F101" s="324"/>
    </row>
    <row r="102" spans="1:6">
      <c r="A102" s="1291" t="s">
        <v>75</v>
      </c>
      <c r="B102" s="1292">
        <v>273</v>
      </c>
      <c r="C102" s="324"/>
      <c r="D102" s="324"/>
      <c r="E102" s="324"/>
      <c r="F102" s="324"/>
    </row>
    <row r="103" spans="1:6">
      <c r="A103" s="1291" t="s">
        <v>76</v>
      </c>
      <c r="B103" s="1292">
        <v>408</v>
      </c>
      <c r="C103" s="324"/>
      <c r="D103" s="324"/>
      <c r="E103" s="324"/>
      <c r="F103" s="324"/>
    </row>
    <row r="104" spans="1:6">
      <c r="A104" s="1291" t="s">
        <v>77</v>
      </c>
      <c r="B104" s="1292">
        <v>2212</v>
      </c>
      <c r="C104" s="324"/>
      <c r="D104" s="324"/>
      <c r="E104" s="324"/>
      <c r="F104" s="324"/>
    </row>
    <row r="105" spans="1:6">
      <c r="A105" s="1286" t="s">
        <v>78</v>
      </c>
      <c r="B105" s="129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52</v>
      </c>
      <c r="C123" s="1292">
        <v>28</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165</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27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135220.69430864474</v>
      </c>
      <c r="C3" s="43" t="s">
        <v>169</v>
      </c>
      <c r="D3" s="43"/>
      <c r="E3" s="154"/>
      <c r="F3" s="43"/>
      <c r="G3" s="43"/>
      <c r="H3" s="43"/>
      <c r="I3" s="43"/>
      <c r="J3" s="43"/>
      <c r="K3" s="96"/>
    </row>
    <row r="4" spans="1:11">
      <c r="A4" s="352" t="s">
        <v>170</v>
      </c>
      <c r="B4" s="49">
        <f>IF(ISERROR('SEAP template'!B78+'SEAP template'!C78),0,'SEAP template'!B78+'SEAP template'!C78)</f>
        <v>16645.559335453392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0.19379507673035207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1651.29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0.19379507673035207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320.01187225406306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B32*B41</f>
        <v>1893.5640205902293</v>
      </c>
      <c r="F5" s="17">
        <f>B36*B45</f>
        <v>47974.424345003172</v>
      </c>
      <c r="G5" s="18"/>
      <c r="H5" s="17"/>
      <c r="I5" s="17"/>
      <c r="J5" s="17">
        <f>B35*B44+C35*C44</f>
        <v>230.84754763979501</v>
      </c>
      <c r="K5" s="17"/>
      <c r="L5" s="17"/>
      <c r="M5" s="17"/>
      <c r="N5" s="17">
        <f>B34*B43+C34*C43</f>
        <v>16981.599900166548</v>
      </c>
      <c r="O5" s="17">
        <f>B52*B53*B54</f>
        <v>301.72333333333336</v>
      </c>
      <c r="P5" s="17">
        <f>B60*B61*B62/1000-B60*B61*B62/1000/B63</f>
        <v>1506.2666666666667</v>
      </c>
    </row>
    <row r="6" spans="1:16">
      <c r="A6" s="16" t="s">
        <v>613</v>
      </c>
      <c r="B6" s="756">
        <f>kWh_PV_kleiner_dan_10kW</f>
        <v>5564.6702947460872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48832.827232683419</v>
      </c>
      <c r="C8" s="21">
        <f>C5</f>
        <v>0</v>
      </c>
      <c r="D8" s="21">
        <f>D5</f>
        <v>122967.4784440412</v>
      </c>
      <c r="E8" s="21">
        <f>E5</f>
        <v>1893.5640205902293</v>
      </c>
      <c r="F8" s="21">
        <f>F5</f>
        <v>47974.424345003172</v>
      </c>
      <c r="G8" s="21"/>
      <c r="H8" s="21"/>
      <c r="I8" s="21"/>
      <c r="J8" s="21">
        <f>J5</f>
        <v>230.84754763979501</v>
      </c>
      <c r="K8" s="21"/>
      <c r="L8" s="21">
        <f>L5</f>
        <v>0</v>
      </c>
      <c r="M8" s="21">
        <f>M5</f>
        <v>0</v>
      </c>
      <c r="N8" s="21">
        <f>N5</f>
        <v>16981.599900166548</v>
      </c>
      <c r="O8" s="21">
        <f>O5</f>
        <v>301.72333333333336</v>
      </c>
      <c r="P8" s="21">
        <f>P5</f>
        <v>1506.2666666666667</v>
      </c>
    </row>
    <row r="9" spans="1:16">
      <c r="B9" s="19"/>
      <c r="C9" s="19"/>
      <c r="D9" s="254"/>
      <c r="E9" s="19"/>
      <c r="F9" s="19"/>
      <c r="G9" s="19"/>
      <c r="H9" s="19"/>
      <c r="I9" s="19"/>
      <c r="J9" s="19"/>
      <c r="K9" s="19"/>
      <c r="L9" s="19"/>
      <c r="M9" s="19"/>
      <c r="N9" s="19"/>
      <c r="O9" s="19"/>
      <c r="P9" s="19"/>
    </row>
    <row r="10" spans="1:16">
      <c r="A10" s="24" t="s">
        <v>213</v>
      </c>
      <c r="B10" s="25">
        <f ca="1">'EF ele_warmte'!B12</f>
        <v>0.19379507673035207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9463.5615005179097</v>
      </c>
      <c r="C12" s="23">
        <f ca="1">C10*C8</f>
        <v>0</v>
      </c>
      <c r="D12" s="23">
        <f>D8*D10</f>
        <v>24839.430645696324</v>
      </c>
      <c r="E12" s="23">
        <f>E10*E8</f>
        <v>429.8390326739821</v>
      </c>
      <c r="F12" s="23">
        <f>F10*F8</f>
        <v>12809.171300115848</v>
      </c>
      <c r="G12" s="23"/>
      <c r="H12" s="23"/>
      <c r="I12" s="23"/>
      <c r="J12" s="23">
        <f>J10*J8</f>
        <v>81.720031864487424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12082</v>
      </c>
      <c r="C26" s="36"/>
      <c r="D26" s="225"/>
    </row>
    <row r="27" spans="1:5" s="15" customFormat="1">
      <c r="A27" s="227" t="s">
        <v>768</v>
      </c>
      <c r="B27" s="37">
        <f>SUM(HH_hh_gas_aantal,HH_rest_gas_aantal)</f>
        <v>9208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8747.6</v>
      </c>
      <c r="C31" s="34" t="s">
        <v>110</v>
      </c>
      <c r="D31" s="171"/>
    </row>
    <row r="32" spans="1:5">
      <c r="A32" s="168" t="s">
        <v>72</v>
      </c>
      <c r="B32" s="33">
        <f>IF((B21*($B$26-($B$27-0.05*$B$27)-$B$60))&lt;0,0,B21*($B$26-($B$27-0.05*$B$27)-$B$60))</f>
        <v>35.811009142228784</v>
      </c>
      <c r="C32" s="34" t="s">
        <v>110</v>
      </c>
      <c r="D32" s="171"/>
    </row>
    <row r="33" spans="1:6">
      <c r="A33" s="168" t="s">
        <v>73</v>
      </c>
      <c r="B33" s="33">
        <f>IF((B22*($B$26-($B$27-0.05*$B$27)-$B$60))&lt;0,0,B22*($B$26-($B$27-0.05*$B$27)-$B$60))</f>
        <v>744.54095305242186</v>
      </c>
      <c r="C33" s="34" t="s">
        <v>110</v>
      </c>
      <c r="D33" s="171"/>
    </row>
    <row r="34" spans="1:6">
      <c r="A34" s="168" t="s">
        <v>74</v>
      </c>
      <c r="B34" s="33">
        <f>IF((B24*($B$26-($B$27-0.05*$B$27)-$B$60))&lt;0,0,B24*($B$26-($B$27-0.05*$B$27)-$B$60))</f>
        <v>148.06272761764072</v>
      </c>
      <c r="C34" s="33">
        <f>B26*C24</f>
        <v>2473.1316608522352</v>
      </c>
      <c r="D34" s="230"/>
    </row>
    <row r="35" spans="1:6">
      <c r="A35" s="168" t="s">
        <v>76</v>
      </c>
      <c r="B35" s="33">
        <f>IF((B19*($B$26-($B$27-0.05*$B$27)-$B$60))&lt;0,0,B19*($B$26-($B$27-0.05*$B$27)-$B$60))</f>
        <v>27.105072395289941</v>
      </c>
      <c r="C35" s="33">
        <f>B35/2</f>
        <v>13.552536197644971</v>
      </c>
      <c r="D35" s="230"/>
    </row>
    <row r="36" spans="1:6">
      <c r="A36" s="168" t="s">
        <v>77</v>
      </c>
      <c r="B36" s="33">
        <f>IF((B18*($B$26-($B$27-0.05*$B$27)-$B$60))&lt;0,0,B18*($B$26-($B$27-0.05*$B$27)-$B$60))</f>
        <v>2299.8802377924185</v>
      </c>
      <c r="C36" s="34" t="s">
        <v>110</v>
      </c>
      <c r="D36" s="171"/>
    </row>
    <row r="37" spans="1:6">
      <c r="A37" s="168" t="s">
        <v>78</v>
      </c>
      <c r="B37" s="33">
        <f>B60</f>
        <v>79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193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53</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52</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51</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50</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49</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54</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254</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0.19379507673035207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7627.2740850587297</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11972.4612680713</v>
      </c>
      <c r="C26" s="39">
        <f>IF(ISERROR(B26*3.6/1000000/'E Balans VL '!Z12*100),0,B26*3.6/1000000/'E Balans VL '!Z12*100)</f>
        <v>0.25307886529640589</v>
      </c>
      <c r="D26" s="233" t="s">
        <v>732</v>
      </c>
      <c r="F26" s="6"/>
    </row>
    <row r="27" spans="1:18">
      <c r="A27" s="228" t="s">
        <v>52</v>
      </c>
      <c r="B27" s="33">
        <f>IF(ISERROR(TER_horeca_ele_kWh/1000),0,TER_horeca_ele_kWh/1000)</f>
        <v>2337.6091882570599</v>
      </c>
      <c r="C27" s="39">
        <f>IF(ISERROR(B27*3.6/1000000/'E Balans VL '!Z9*100),0,B27*3.6/1000000/'E Balans VL '!Z9*100)</f>
        <v>0.18427286103887955</v>
      </c>
      <c r="D27" s="233" t="s">
        <v>732</v>
      </c>
      <c r="F27" s="6"/>
    </row>
    <row r="28" spans="1:18">
      <c r="A28" s="168" t="s">
        <v>51</v>
      </c>
      <c r="B28" s="33">
        <f>IF(ISERROR(TER_handel_ele_kWh/1000),0,TER_handel_ele_kWh/1000)</f>
        <v>14260.371889666199</v>
      </c>
      <c r="C28" s="39">
        <f>IF(ISERROR(B28*3.6/1000000/'E Balans VL '!Z13*100),0,B28*3.6/1000000/'E Balans VL '!Z13*100)</f>
        <v>0.41389361059703622</v>
      </c>
      <c r="D28" s="233" t="s">
        <v>732</v>
      </c>
      <c r="F28" s="6"/>
    </row>
    <row r="29" spans="1:18">
      <c r="A29" s="228" t="s">
        <v>50</v>
      </c>
      <c r="B29" s="33">
        <f>IF(ISERROR(TER_gezond_ele_kWh/1000),0,TER_gezond_ele_kWh/1000)</f>
        <v>1248.52633438006</v>
      </c>
      <c r="C29" s="39">
        <f>IF(ISERROR(B29*3.6/1000000/'E Balans VL '!Z10*100),0,B29*3.6/1000000/'E Balans VL '!Z10*100)</f>
        <v>0.13149032435378705</v>
      </c>
      <c r="D29" s="233" t="s">
        <v>732</v>
      </c>
      <c r="F29" s="6"/>
    </row>
    <row r="30" spans="1:18">
      <c r="A30" s="228" t="s">
        <v>49</v>
      </c>
      <c r="B30" s="33">
        <f>IF(ISERROR(TER_ander_ele_kWh/1000),0,TER_ander_ele_kWh/1000)</f>
        <v>3346.0002047241601</v>
      </c>
      <c r="C30" s="39">
        <f>IF(ISERROR(B30*3.6/1000000/'E Balans VL '!Z14*100),0,B30*3.6/1000000/'E Balans VL '!Z14*100)</f>
        <v>0.24680170184808339</v>
      </c>
      <c r="D30" s="233" t="s">
        <v>732</v>
      </c>
      <c r="F30" s="6"/>
    </row>
    <row r="31" spans="1:18">
      <c r="A31" s="228" t="s">
        <v>54</v>
      </c>
      <c r="B31" s="33">
        <f>IF(ISERROR(TER_onderwijs_ele_kWh/1000),0,TER_onderwijs_ele_kWh/1000)</f>
        <v>512.63195848403996</v>
      </c>
      <c r="C31" s="39">
        <f>IF(ISERROR(B31*3.6/1000000/'E Balans VL '!Z11*100),0,B31*3.6/1000000/'E Balans VL '!Z11*100)</f>
        <v>0.12731052838670312</v>
      </c>
      <c r="D31" s="233" t="s">
        <v>732</v>
      </c>
    </row>
    <row r="32" spans="1:18">
      <c r="A32" s="228" t="s">
        <v>254</v>
      </c>
      <c r="B32" s="33">
        <f>IF(ISERROR(TER_rest_ele_kWh/1000),0,TER_rest_ele_kWh/1000)</f>
        <v>5679.81841465446</v>
      </c>
      <c r="C32" s="39">
        <f>IF(ISERROR(B32*3.6/1000000/'E Balans VL '!Z8*100),0,B32*3.6/1000000/'E Balans VL '!Z8*100)</f>
        <v>4.673736636003957E-2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3123.5097271248287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32</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363.18691508980356</v>
      </c>
      <c r="O9" s="33"/>
      <c r="P9" s="33"/>
      <c r="R9" s="32"/>
    </row>
    <row r="10" spans="1:18">
      <c r="A10" s="6" t="s">
        <v>40</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39</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36</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38</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265.95902578494758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2243.7843366415286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3123.5097271248287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0.19379507673035207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8154.0945401374265</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1798.1145614601398</v>
      </c>
      <c r="C30" s="39">
        <f>IF(ISERROR(B30*3.6/1000000/'E Balans VL '!Z18*100),0,B30*3.6/1000000/'E Balans VL '!Z18*100)</f>
        <v>0.10190376286524165</v>
      </c>
      <c r="D30" s="233" t="s">
        <v>732</v>
      </c>
    </row>
    <row r="31" spans="1:18">
      <c r="A31" s="6" t="s">
        <v>32</v>
      </c>
      <c r="B31" s="37">
        <f>IF( ISERROR(IND_ander_ele_kWh/1000),0,IND_ander_ele_kWh/1000)</f>
        <v>4630.2040245891403</v>
      </c>
      <c r="C31" s="39">
        <f>IF(ISERROR(B31*3.6/1000000/'E Balans VL '!Z19*100),0,B31*3.6/1000000/'E Balans VL '!Z19*100)</f>
        <v>0.21000677472136461</v>
      </c>
      <c r="D31" s="233" t="s">
        <v>732</v>
      </c>
    </row>
    <row r="32" spans="1:18">
      <c r="A32" s="168" t="s">
        <v>40</v>
      </c>
      <c r="B32" s="37">
        <f>IF( ISERROR(IND_voed_ele_kWh/1000),0,IND_voed_ele_kWh/1000)</f>
        <v>1896.82150937914</v>
      </c>
      <c r="C32" s="39">
        <f>IF(ISERROR(B32*3.6/1000000/'E Balans VL '!Z20*100),0,B32*3.6/1000000/'E Balans VL '!Z20*100)</f>
        <v>5.8677300127688632E-2</v>
      </c>
      <c r="D32" s="233" t="s">
        <v>732</v>
      </c>
    </row>
    <row r="33" spans="1:5">
      <c r="A33" s="168" t="s">
        <v>39</v>
      </c>
      <c r="B33" s="37">
        <f>IF( ISERROR(IND_textiel_ele_kWh/1000),0,IND_textiel_ele_kWh/1000)</f>
        <v>942.54344567968099</v>
      </c>
      <c r="C33" s="39">
        <f>IF(ISERROR(B33*3.6/1000000/'E Balans VL '!Z21*100),0,B33*3.6/1000000/'E Balans VL '!Z21*100)</f>
        <v>0.1228971884127463</v>
      </c>
      <c r="D33" s="233" t="s">
        <v>732</v>
      </c>
    </row>
    <row r="34" spans="1:5">
      <c r="A34" s="168" t="s">
        <v>36</v>
      </c>
      <c r="B34" s="37">
        <f>IF( ISERROR(IND_min_ele_kWh/1000),0,IND_min_ele_kWh/1000)</f>
        <v>192.049047160736</v>
      </c>
      <c r="C34" s="39">
        <f>IF(ISERROR(B34*3.6/1000000/'E Balans VL '!Z22*100),0,B34*3.6/1000000/'E Balans VL '!Z22*100)</f>
        <v>3.4543631722952751E-2</v>
      </c>
      <c r="D34" s="233" t="s">
        <v>732</v>
      </c>
    </row>
    <row r="35" spans="1:5">
      <c r="A35" s="168" t="s">
        <v>38</v>
      </c>
      <c r="B35" s="37">
        <f>IF( ISERROR(IND_papier_ele_kWh/1000),0,IND_papier_ele_kWh/1000)</f>
        <v>650.92624469539896</v>
      </c>
      <c r="C35" s="39">
        <f>IF(ISERROR(B35*3.6/1000000/'E Balans VL '!Z22*100),0,B35*3.6/1000000/'E Balans VL '!Z22*100)</f>
        <v>0.11708132275576098</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31965.201285417901</v>
      </c>
      <c r="C37" s="39">
        <f>IF(ISERROR(B37*3.6/1000000/'E Balans VL '!Z15*100),0,B37*3.6/1000000/'E Balans VL '!Z15*100)</f>
        <v>0.25336347718764507</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1493.6406144741031</v>
      </c>
      <c r="C5" s="17">
        <f>'Eigen informatie GS &amp; warmtenet'!B60</f>
        <v>0</v>
      </c>
      <c r="D5" s="30">
        <f>IF(ISERROR(SUM(LB_lb_gas_kWh,LB_rest_gas_kWh)/1000),0,SUM(LB_lb_gas_kWh,LB_rest_gas_kWh)/1000)*0.902</f>
        <v>334.97279401820958</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1493.6406144741031</v>
      </c>
      <c r="C8" s="21">
        <f>C5+C6</f>
        <v>62.357142857142847</v>
      </c>
      <c r="D8" s="21">
        <f>MAX((D5+D6),0)</f>
        <v>334.97279401820958</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0.19379507673035207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289.460197489579</v>
      </c>
      <c r="C12" s="23">
        <f ca="1">C8*C10</f>
        <v>0</v>
      </c>
      <c r="D12" s="23">
        <f>D8*D10</f>
        <v>67.664504391678335</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0.21195228934838997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334.16426383019405</v>
      </c>
      <c r="C26" s="243">
        <f>B26*'GWP N2O_CH4'!B5</f>
        <v>7017.4495404340751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113.98705294294656</v>
      </c>
      <c r="C27" s="243">
        <f>B27*'GWP N2O_CH4'!B5</f>
        <v>2393.7281118018777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3">
        <f>B28*'GWP N2O_CH4'!B4</f>
        <v>1538.8671825539423</v>
      </c>
      <c r="D28" s="50"/>
    </row>
    <row r="29" spans="1:4">
      <c r="A29" s="41" t="s">
        <v>271</v>
      </c>
      <c r="B29" s="243">
        <f>B34*'ha_N2O bodem landbouw'!B4</f>
        <v>11.967188189781309</v>
      </c>
      <c r="C29" s="243">
        <f>B29*'GWP N2O_CH4'!B4</f>
        <v>3709.8283388322056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2.7308711041429115E-3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6.7006272672350941E-4</v>
      </c>
      <c r="C5" s="431" t="s">
        <v>210</v>
      </c>
      <c r="D5" s="416">
        <f>SUM(D6:D11)</f>
        <v>1.1064486320428283E-3</v>
      </c>
      <c r="E5" s="416">
        <f>SUM(E6:E11)</f>
        <v>2.0591162243924076E-3</v>
      </c>
      <c r="F5" s="429" t="s">
        <v>210</v>
      </c>
      <c r="G5" s="416">
        <f>SUM(G6:G11)</f>
        <v>1.0154710311415787</v>
      </c>
      <c r="H5" s="416">
        <f>SUM(H6:H11)</f>
        <v>0.18002372041137715</v>
      </c>
      <c r="I5" s="431" t="s">
        <v>210</v>
      </c>
      <c r="J5" s="431" t="s">
        <v>210</v>
      </c>
      <c r="K5" s="431" t="s">
        <v>210</v>
      </c>
      <c r="L5" s="431" t="s">
        <v>210</v>
      </c>
      <c r="M5" s="416">
        <f>SUM(M6:M11)</f>
        <v>6.4629225494146181E-2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1.9094261533794335E-4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3.2100811350943727E-4</v>
      </c>
      <c r="E6" s="859">
        <f>vkm_GW_PW*SUMIFS(TableVerdeelsleutelVkm[LPG],TableVerdeelsleutelVkm[Voertuigtype],"Lichte voertuigen")*SUMIFS(TableECFTransport[EnergieConsumptieFactor (PJ per km)],TableECFTransport[Index],CONCATENATE($A6,"_LPG_LPG"))</f>
        <v>5.648165257320357E-4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0.16757942784369295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5.1863227373684408E-2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1.1317798053995463E-2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3.4435467561212048E-6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0.11060816328487678</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1.8046370799649511E-6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6.4623420963475092E-3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1.9059301218908353E-4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4.1084944654271391E-4</v>
      </c>
      <c r="E8" s="419">
        <f>vkm_NGW_PW*SUMIFS(TableVerdeelsleutelVkm[LPG],TableVerdeelsleutelVkm[Voertuigtype],"Lichte voertuigen")*SUMIFS(TableECFTransport[EnergieConsumptieFactor (PJ per km)],TableECFTransport[Index],CONCATENATE($A8,"_LPG_LPG"))</f>
        <v>6.9223485321142145E-4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0.19099403591988318</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6.5013535874343387E-2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1.3072969958423955E-2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1.1505464143050067E-6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4.7417036347856545E-2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7.2778731529080153E-7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2.7703647874113058E-3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2.7474485887825102E-4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3.7459107199067716E-4</v>
      </c>
      <c r="E10" s="419">
        <f>vkm_SW_PW*SUMIFS(TableVerdeelsleutelVkm[LPG],TableVerdeelsleutelVkm[Voertuigtype],"Lichte voertuigen")*SUMIFS(TableECFTransport[EnergieConsumptieFactor (PJ per km)],TableECFTransport[Index],CONCATENATE($A10,"_LPG_LPG"))</f>
        <v>8.0206484544895044E-4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0.21776864239690016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6.313946861370022E-2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1.4582101674405852E-2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9.1881471478052075E-6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0.28110372534836908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4.9561252538870246E-6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1.6423648923562097E-2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186.12853520097482</v>
      </c>
      <c r="C14" s="21"/>
      <c r="D14" s="21">
        <f t="shared" ref="D14:M14" si="0">((D5)*10^9/3600)+D12</f>
        <v>307.34684223411898</v>
      </c>
      <c r="E14" s="21">
        <f t="shared" si="0"/>
        <v>571.97672899789097</v>
      </c>
      <c r="F14" s="21"/>
      <c r="G14" s="21">
        <f t="shared" si="0"/>
        <v>282075.28642821632</v>
      </c>
      <c r="H14" s="21">
        <f t="shared" si="0"/>
        <v>50006.589003160319</v>
      </c>
      <c r="I14" s="21"/>
      <c r="J14" s="21"/>
      <c r="K14" s="21"/>
      <c r="L14" s="21"/>
      <c r="M14" s="21">
        <f t="shared" si="0"/>
        <v>17952.562637262829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0.19379507673035207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36.070793760980955</v>
      </c>
      <c r="C18" s="23"/>
      <c r="D18" s="23">
        <f t="shared" ref="D18:M18" si="1">D14*D16</f>
        <v>62.084062131292036</v>
      </c>
      <c r="E18" s="23">
        <f t="shared" si="1"/>
        <v>129.83871748252125</v>
      </c>
      <c r="F18" s="23"/>
      <c r="G18" s="23">
        <f t="shared" si="1"/>
        <v>75314.101476333759</v>
      </c>
      <c r="H18" s="23">
        <f t="shared" si="1"/>
        <v>12451.64066178692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8.6048253417076278E-5</v>
      </c>
      <c r="C50" s="313">
        <f t="shared" ref="C50:P50" si="2">SUM(C51:C52)</f>
        <v>0</v>
      </c>
      <c r="D50" s="313">
        <f t="shared" si="2"/>
        <v>0</v>
      </c>
      <c r="E50" s="313">
        <f t="shared" si="2"/>
        <v>0</v>
      </c>
      <c r="F50" s="313">
        <f t="shared" si="2"/>
        <v>0</v>
      </c>
      <c r="G50" s="313">
        <f t="shared" si="2"/>
        <v>8.0833793025060791E-3</v>
      </c>
      <c r="H50" s="313">
        <f t="shared" si="2"/>
        <v>0</v>
      </c>
      <c r="I50" s="313">
        <f t="shared" si="2"/>
        <v>0</v>
      </c>
      <c r="J50" s="313">
        <f t="shared" si="2"/>
        <v>0</v>
      </c>
      <c r="K50" s="313">
        <f t="shared" si="2"/>
        <v>0</v>
      </c>
      <c r="L50" s="313">
        <f t="shared" si="2"/>
        <v>0</v>
      </c>
      <c r="M50" s="313">
        <f t="shared" si="2"/>
        <v>4.6549754355542538E-4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8.6048253417076278E-5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8.0833793025060791E-3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4.6549754355542538E-4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23.902292615854524</v>
      </c>
      <c r="C54" s="21">
        <f t="shared" ref="C54:P54" si="3">(C50)*10^9/3600</f>
        <v>0</v>
      </c>
      <c r="D54" s="21">
        <f t="shared" si="3"/>
        <v>0</v>
      </c>
      <c r="E54" s="21">
        <f t="shared" si="3"/>
        <v>0</v>
      </c>
      <c r="F54" s="21">
        <f t="shared" si="3"/>
        <v>0</v>
      </c>
      <c r="G54" s="21">
        <f t="shared" si="3"/>
        <v>2245.383139585022</v>
      </c>
      <c r="H54" s="21">
        <f t="shared" si="3"/>
        <v>0</v>
      </c>
      <c r="I54" s="21">
        <f t="shared" si="3"/>
        <v>0</v>
      </c>
      <c r="J54" s="21">
        <f t="shared" si="3"/>
        <v>0</v>
      </c>
      <c r="K54" s="21">
        <f t="shared" si="3"/>
        <v>0</v>
      </c>
      <c r="L54" s="21">
        <f t="shared" si="3"/>
        <v>0</v>
      </c>
      <c r="M54" s="21">
        <f t="shared" si="3"/>
        <v>129.30487320984037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0.19379507673035207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4.6321466315208548</v>
      </c>
      <c r="C58" s="23">
        <f t="shared" ref="C58:P58" ca="1" si="4">C54*C56</f>
        <v>0</v>
      </c>
      <c r="D58" s="23">
        <f t="shared" si="4"/>
        <v>0</v>
      </c>
      <c r="E58" s="23">
        <f t="shared" si="4"/>
        <v>0</v>
      </c>
      <c r="F58" s="23">
        <f t="shared" si="4"/>
        <v>0</v>
      </c>
      <c r="G58" s="23">
        <f t="shared" si="4"/>
        <v>599.51729826920086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16601.909335453391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16645.559335453392</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46025</v>
      </c>
      <c r="C28" s="764">
        <v>9140</v>
      </c>
      <c r="D28" s="621" t="s">
        <v>902</v>
      </c>
      <c r="E28" s="620" t="s">
        <v>903</v>
      </c>
      <c r="F28" s="620" t="s">
        <v>904</v>
      </c>
      <c r="G28" s="620" t="s">
        <v>905</v>
      </c>
      <c r="H28" s="620" t="s">
        <v>906</v>
      </c>
      <c r="I28" s="620" t="s">
        <v>903</v>
      </c>
      <c r="J28" s="763">
        <v>41158</v>
      </c>
      <c r="K28" s="763">
        <v>41275</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2021-06-29T15:45:39Z</dcterms:modified>
</cp:coreProperties>
</file>