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<sst xmlns="http://schemas.openxmlformats.org/spreadsheetml/2006/main" count="2494" uniqueCount="913">
  <si>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</si>
  <si>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</si>
  <si>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</si>
  <si>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</si>
  <si>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</si>
  <si>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</si>
  <si>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</si>
  <si>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</si>
  <si>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</si>
  <si>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</si>
  <si>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</si>
  <si>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</si>
  <si>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</si>
  <si>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</si>
  <si>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</si>
  <si>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</si>
  <si>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</si>
  <si>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</si>
  <si>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</si>
  <si>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</si>
  <si>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</si>
  <si>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</si>
  <si>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</si>
  <si>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</si>
  <si>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</si>
  <si>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</si>
  <si>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</si>
  <si>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</si>
  <si>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</si>
  <si>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</si>
  <si>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</si>
  <si>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</si>
  <si>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</si>
  <si>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</si>
  <si>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</si>
  <si>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</si>
  <si>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</si>
  <si>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</si>
  <si>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</si>
  <si>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</si>
  <si>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</si>
  <si>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</si>
  <si>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</si>
  <si>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</si>
  <si>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</si>
  <si>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</si>
  <si>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</si>
  <si>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</si>
  <si>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</si>
  <si>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</si>
  <si>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</si>
  <si>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</si>
  <si>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</si>
  <si>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</si>
  <si>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</si>
  <si>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</si>
  <si>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</si>
  <si>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</si>
  <si>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</si>
  <si>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</si>
  <si>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</si>
  <si>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</si>
  <si>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</si>
  <si>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</si>
  <si>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</si>
  <si>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</si>
  <si>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</si>
  <si>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</si>
  <si>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</si>
  <si>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</si>
  <si>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</si>
  <si>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</si>
  <si>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</si>
  <si>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</si>
  <si>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</si>
  <si>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</si>
  <si>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</si>
  <si>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</si>
  <si>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</si>
  <si>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</si>
  <si>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</si>
  <si>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</si>
  <si>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</si>
  <si>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</si>
  <si>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</si>
  <si>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</si>
  <si>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</si>
  <si>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</si>
  <si>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</si>
  <si>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</si>
  <si>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</si>
  <si>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</si>
  <si>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</si>
  <si>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</si>
  <si>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</si>
  <si>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</si>
  <si>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</si>
  <si>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</si>
  <si>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</si>
  <si>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</si>
  <si>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</si>
  <si>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</si>
  <si>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</si>
  <si>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</si>
  <si>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</si>
  <si>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</si>
  <si>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</si>
  <si>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</si>
  <si>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</si>
  <si>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</si>
  <si>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</si>
  <si>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</si>
  <si>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</si>
  <si>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</si>
  <si>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</si>
  <si>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</si>
  <si>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</si>
  <si>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</si>
  <si>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</si>
  <si>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</si>
  <si>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</si>
  <si>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</si>
  <si>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</si>
  <si>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</si>
  <si>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</si>
  <si>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</si>
  <si>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</si>
  <si>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</si>
  <si>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</si>
  <si>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</si>
  <si>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</si>
  <si>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</si>
  <si>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</si>
  <si>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</si>
  <si>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</si>
  <si>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</si>
  <si>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</si>
  <si>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</si>
  <si>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</si>
  <si>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</si>
  <si>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</si>
  <si>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</si>
  <si>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</si>
  <si>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</si>
  <si>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</si>
  <si>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</si>
  <si>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</si>
  <si>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</si>
  <si>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</si>
  <si>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</si>
  <si>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</si>
  <si>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</si>
  <si>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</si>
  <si>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</si>
  <si>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</si>
  <si>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</si>
  <si>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</si>
  <si>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</si>
  <si>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</si>
  <si>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</si>
  <si>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</si>
  <si>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</si>
  <si>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</si>
  <si>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</si>
  <si>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</si>
  <si>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</si>
  <si>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</si>
  <si>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</si>
  <si>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</si>
  <si>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</si>
  <si>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</si>
  <si>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</si>
  <si>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</si>
  <si>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</si>
  <si>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</si>
  <si>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</si>
  <si>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</si>
  <si>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</si>
  <si>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</si>
  <si>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</si>
  <si>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</si>
  <si>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</si>
  <si>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</si>
  <si>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</si>
  <si>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</si>
  <si>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</si>
  <si>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</si>
  <si>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</si>
  <si>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</si>
  <si>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</si>
  <si>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</si>
  <si>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</si>
  <si>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</si>
  <si>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</si>
  <si>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</si>
  <si>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</si>
  <si>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</si>
  <si>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</si>
  <si>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</si>
  <si>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</si>
  <si>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</si>
  <si>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</si>
  <si>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</si>
  <si>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</si>
  <si>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</si>
  <si>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</si>
  <si>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</si>
  <si>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</si>
  <si>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</si>
  <si>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</si>
  <si>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</si>
  <si>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</si>
  <si>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</si>
  <si>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</si>
  <si>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</si>
  <si>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</si>
  <si>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</si>
  <si>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</si>
  <si>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</si>
  <si>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</si>
  <si>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</si>
  <si>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</si>
  <si>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</si>
  <si>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</si>
  <si>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</si>
  <si>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</si>
  <si>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</si>
  <si>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</si>
  <si>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</si>
  <si>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</si>
  <si>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</si>
  <si>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</si>
  <si>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</si>
  <si>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</si>
  <si>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</si>
  <si>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</si>
  <si>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</si>
  <si>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</si>
  <si>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</si>
  <si>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</si>
  <si>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</si>
  <si>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</si>
  <si>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</si>
  <si>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</si>
  <si>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</si>
  <si>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</si>
  <si>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</si>
  <si>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</si>
  <si>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</si>
  <si>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</si>
  <si>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</si>
  <si>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</si>
  <si>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</si>
  <si>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</si>
  <si>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</si>
  <si>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</si>
  <si>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</si>
  <si>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</si>
  <si>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</si>
  <si>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</si>
  <si>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</si>
  <si>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</si>
  <si>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</si>
  <si>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</si>
  <si>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</si>
  <si>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</si>
  <si>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</si>
  <si>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</si>
  <si>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</si>
  <si>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</si>
  <si>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</si>
  <si>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</si>
  <si>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</si>
  <si>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</si>
  <si>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</si>
  <si>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</si>
  <si>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</si>
  <si>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</si>
  <si>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</si>
  <si>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</si>
  <si>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</si>
  <si>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</si>
  <si>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</si>
  <si>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</si>
  <si>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</si>
  <si>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</si>
  <si>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</si>
  <si>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</si>
  <si>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</si>
  <si>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</si>
  <si>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</si>
  <si>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</si>
  <si>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</si>
  <si>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</si>
  <si>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</si>
  <si>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</si>
  <si>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</si>
  <si>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</si>
  <si>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</si>
  <si>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</si>
  <si>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</si>
  <si>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</si>
  <si>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</si>
  <si>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</si>
  <si>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</si>
  <si>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</si>
  <si>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</si>
  <si>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</si>
  <si>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</si>
  <si>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</si>
  <si>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</si>
  <si>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</si>
  <si>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</si>
  <si>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</si>
  <si>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</si>
  <si>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</si>
  <si>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</si>
  <si>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</si>
  <si>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</si>
  <si>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</si>
  <si>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</si>
  <si>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</si>
  <si>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</si>
  <si>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</si>
  <si>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</si>
  <si>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</si>
  <si>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</si>
  <si>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</si>
  <si>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</si>
  <si>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</si>
  <si>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</si>
  <si>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</si>
  <si>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</si>
  <si>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</si>
  <si>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</si>
  <si>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</si>
  <si>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</si>
  <si>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</si>
  <si>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</si>
  <si>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</si>
  <si>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</si>
  <si>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</si>
  <si>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</si>
  <si>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</si>
  <si>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</si>
  <si>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</si>
  <si>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</si>
  <si>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</si>
  <si>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</si>
  <si>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</si>
  <si>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</si>
  <si>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</si>
  <si>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</si>
  <si>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</si>
  <si>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</si>
  <si>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</si>
  <si>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</si>
  <si>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</si>
  <si>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</si>
  <si>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</si>
  <si>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</si>
  <si>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</si>
  <si>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</si>
  <si>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</si>
  <si>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</si>
  <si>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</si>
  <si>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</si>
  <si>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</si>
  <si>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</si>
  <si>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</si>
  <si>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</si>
  <si>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</si>
  <si>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</si>
  <si>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</si>
  <si>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</si>
  <si>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</si>
  <si>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</si>
  <si>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</si>
  <si>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</si>
  <si>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</si>
  <si>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</si>
  <si>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</si>
  <si>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</si>
  <si>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</si>
  <si>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</si>
  <si>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</si>
  <si>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</si>
  <si>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</si>
  <si>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</si>
  <si>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</si>
  <si>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</si>
  <si>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</si>
  <si>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</si>
  <si>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</si>
  <si>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</si>
  <si>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</si>
  <si>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</si>
  <si>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</si>
  <si>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</si>
  <si>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</si>
  <si>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</si>
  <si>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</si>
  <si>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</si>
  <si>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</si>
  <si>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</si>
  <si>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</si>
  <si>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</si>
  <si>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</si>
  <si>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</si>
  <si>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</si>
  <si>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</si>
  <si>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</si>
  <si>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</si>
  <si>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</si>
  <si>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</si>
  <si>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</si>
  <si>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</si>
  <si>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</si>
  <si>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</si>
  <si>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</si>
  <si>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</si>
  <si>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</si>
  <si>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</si>
  <si>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</si>
  <si>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</si>
  <si>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</si>
  <si>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</si>
  <si>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</si>
  <si>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</si>
  <si>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</si>
  <si>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</si>
  <si>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</si>
  <si>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</si>
  <si>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</si>
  <si>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</si>
  <si>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</si>
  <si>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</si>
  <si>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</si>
  <si>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</si>
  <si>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</si>
  <si>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</si>
  <si>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</si>
  <si>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</si>
  <si>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</si>
  <si>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</si>
  <si>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</si>
  <si>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</si>
  <si>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</si>
  <si>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</si>
  <si>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</si>
  <si>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</si>
  <si>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</si>
  <si>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</si>
  <si>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</si>
  <si>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</si>
  <si>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</si>
  <si>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</si>
  <si>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</si>
  <si>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</si>
  <si>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</si>
  <si>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</si>
  <si>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</si>
  <si>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</si>
  <si>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</si>
  <si>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</si>
  <si>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</si>
  <si>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</si>
  <si>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</si>
  <si>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</si>
  <si>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</si>
  <si>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</si>
  <si>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</si>
  <si>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</si>
  <si>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</si>
  <si>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</si>
  <si>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</si>
  <si>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</si>
  <si>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</si>
  <si>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</si>
  <si>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</si>
  <si>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</si>
  <si>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</si>
  <si>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</si>
  <si>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</si>
  <si>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</si>
  <si>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</si>
  <si>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</si>
  <si>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</si>
  <si>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</si>
  <si>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</si>
  <si>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</si>
  <si>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</si>
  <si>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</si>
  <si>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</si>
  <si>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</si>
  <si>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</si>
  <si>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</si>
  <si>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</si>
  <si>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</si>
  <si>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</si>
  <si>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</si>
  <si>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</si>
  <si>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</si>
  <si>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</si>
  <si>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</si>
  <si>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</si>
  <si>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</si>
  <si>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</si>
  <si>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</si>
  <si>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</si>
  <si>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</si>
  <si>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</si>
  <si>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</si>
  <si>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</si>
  <si>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</si>
  <si>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</si>
  <si>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</si>
  <si>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</si>
  <si>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</si>
  <si>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</si>
  <si>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</si>
  <si>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</si>
  <si>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</si>
  <si>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</si>
  <si>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</si>
  <si>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</si>
  <si>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</si>
  <si>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</si>
  <si>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</si>
  <si>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</si>
  <si>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</si>
  <si>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</si>
  <si>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</si>
  <si>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</si>
  <si>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</si>
  <si>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</si>
  <si>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</si>
  <si>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</si>
  <si>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</si>
  <si>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</si>
  <si>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</si>
  <si>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</si>
  <si>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</si>
  <si>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</si>
  <si>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</si>
  <si>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</si>
  <si>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</si>
  <si>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</si>
  <si>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</si>
  <si>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</si>
  <si>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</si>
  <si>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</si>
  <si>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</si>
  <si>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</si>
  <si>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</si>
  <si>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</si>
  <si>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</si>
  <si>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</si>
  <si>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</si>
  <si>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</si>
  <si>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</si>
  <si>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</si>
  <si>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</si>
  <si>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</si>
  <si>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</si>
  <si>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</si>
  <si>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</si>
  <si>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</si>
  <si>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</si>
  <si>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</si>
  <si>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</si>
  <si>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</si>
  <si>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</si>
  <si>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</si>
  <si>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</si>
  <si>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</si>
  <si>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</si>
  <si>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</si>
  <si>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</si>
  <si>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</si>
  <si>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</si>
  <si>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</si>
  <si>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</si>
  <si>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</si>
  <si>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</si>
  <si>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</si>
  <si>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</si>
  <si>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</si>
  <si>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</si>
  <si>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</si>
  <si>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</si>
  <si>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</si>
  <si>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</si>
  <si>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</si>
  <si>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</si>
  <si>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</si>
  <si>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</si>
  <si>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</si>
  <si>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</si>
  <si>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</si>
  <si>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</si>
  <si>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</si>
  <si>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</si>
  <si>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</si>
  <si>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</si>
  <si>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</si>
  <si>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</si>
  <si>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</si>
  <si>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</si>
  <si>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</si>
  <si>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</si>
  <si>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</si>
  <si>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</si>
  <si>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</si>
  <si>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</si>
  <si>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</si>
  <si>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</si>
  <si>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</si>
  <si>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</si>
  <si>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</si>
  <si>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</si>
  <si>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</si>
  <si>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</si>
  <si>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</si>
  <si>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</si>
  <si>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</si>
  <si>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</si>
  <si>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</si>
  <si>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</si>
  <si>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</si>
  <si>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</si>
  <si>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</si>
  <si>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</si>
  <si>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</si>
  <si>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</si>
  <si>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</si>
  <si>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</si>
  <si>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</si>
  <si>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</si>
  <si>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</si>
  <si>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</si>
  <si>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</si>
  <si>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</si>
  <si>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</si>
  <si>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</si>
  <si>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</si>
  <si>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</si>
  <si>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</si>
  <si>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</si>
  <si>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</si>
  <si>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</si>
  <si>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</si>
  <si>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</si>
  <si>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</si>
  <si>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</si>
  <si>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</si>
  <si>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</si>
  <si>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</si>
  <si>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</si>
  <si>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</si>
  <si>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</si>
  <si>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</si>
  <si>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</si>
  <si>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</si>
  <si>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</si>
  <si>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</si>
  <si>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</si>
  <si>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</si>
  <si>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</si>
  <si>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</si>
  <si>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</si>
  <si>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</si>
  <si>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</si>
  <si>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</si>
  <si>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</si>
  <si>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</si>
  <si>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</si>
  <si>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</si>
  <si>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</si>
  <si>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</si>
  <si>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</si>
  <si>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</si>
  <si>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</si>
  <si>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</si>
  <si>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</si>
  <si>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</si>
  <si>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</si>
  <si>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</si>
  <si>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</si>
  <si>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</si>
  <si>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</si>
  <si>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</si>
  <si>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</si>
  <si>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</si>
  <si>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</si>
  <si>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</si>
  <si>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</si>
  <si>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</si>
  <si>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</si>
  <si>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</si>
  <si>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</si>
  <si>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</si>
  <si>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</si>
  <si>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</si>
  <si>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</si>
  <si>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</si>
  <si>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</si>
  <si>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</si>
  <si>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</si>
  <si>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</si>
  <si>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</si>
  <si>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</si>
  <si>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</si>
  <si>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</si>
  <si>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</si>
  <si>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</si>
  <si>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</si>
  <si>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</si>
  <si>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</si>
  <si>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</si>
  <si>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</si>
  <si>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</si>
  <si>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</si>
  <si>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</si>
  <si>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</si>
  <si>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</si>
  <si>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</si>
  <si>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</si>
  <si>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</si>
  <si>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</si>
  <si>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</si>
  <si>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</si>
  <si>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</si>
  <si>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</si>
  <si>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</si>
  <si>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</si>
  <si>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</si>
  <si>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</si>
  <si>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</si>
  <si>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</si>
  <si>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</si>
  <si>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</si>
  <si>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</si>
  <si>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</si>
  <si>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</si>
  <si>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</si>
  <si>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</si>
  <si>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</si>
  <si>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</si>
  <si>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</si>
  <si>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</si>
  <si>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</si>
  <si>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</si>
  <si>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</si>
  <si>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</si>
  <si>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</si>
  <si>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</si>
  <si>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</si>
  <si>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</si>
  <si>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</si>
  <si>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</si>
  <si>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</si>
  <si>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</si>
  <si>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</si>
  <si>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</si>
  <si>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</si>
  <si>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</si>
  <si>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</si>
  <si>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</si>
  <si>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</si>
  <si>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</si>
  <si>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</si>
  <si>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</si>
  <si>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</si>
  <si>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</si>
  <si>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</si>
  <si>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</si>
  <si>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</si>
  <si>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</si>
  <si>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</si>
  <si>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</si>
  <si>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</si>
  <si>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</si>
  <si>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</si>
  <si>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</si>
  <si>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</si>
  <si>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</si>
  <si>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</si>
  <si>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</si>
  <si>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</si>
  <si>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</si>
  <si>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</si>
  <si>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</si>
  <si>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</si>
  <si>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</si>
  <si>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</si>
  <si>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</si>
  <si>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</si>
  <si>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</si>
  <si>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</si>
  <si>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</si>
  <si>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</si>
  <si>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</si>
  <si>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</si>
  <si>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</si>
  <si>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</si>
  <si>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</si>
  <si>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</si>
  <si>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</si>
  <si>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</si>
  <si>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</si>
  <si>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</si>
  <si>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</si>
  <si>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</si>
  <si>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</si>
  <si>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</si>
  <si>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</si>
  <si>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</si>
  <si>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</si>
  <si>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</si>
  <si>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</si>
  <si>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</si>
  <si>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</si>
  <si>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</si>
  <si>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</si>
  <si>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</si>
  <si>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</si>
  <si>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</si>
  <si>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</si>
  <si>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</si>
  <si>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</si>
  <si>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</si>
  <si>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</si>
  <si>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</si>
  <si>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</si>
  <si>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</si>
  <si>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</si>
  <si>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</si>
  <si>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</si>
  <si>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</si>
  <si>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</si>
  <si>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</si>
  <si>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</si>
  <si>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</si>
  <si>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</si>
  <si>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</si>
  <si>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</si>
  <si>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</si>
  <si>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</si>
  <si>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</si>
  <si>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</si>
  <si>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</si>
  <si>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</si>
  <si>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</si>
  <si>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</si>
  <si>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</si>
  <si>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</si>
  <si>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</si>
  <si>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</si>
  <si>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</si>
  <si>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</si>
  <si>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</si>
  <si>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</si>
  <si>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</si>
  <si>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</si>
  <si>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</si>
  <si>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</si>
  <si>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</si>
  <si>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</si>
  <si>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</si>
  <si>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</si>
  <si>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</si>
  <si>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</si>
  <si>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</si>
  <si>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</si>
  <si>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</si>
  <si>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</si>
  <si>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</si>
  <si>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</si>
  <si>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</si>
  <si>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</si>
  <si>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</si>
  <si>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</si>
  <si>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</si>
  <si>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</si>
  <si>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</si>
  <si>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</si>
  <si>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</si>
  <si>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</si>
  <si>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</si>
  <si>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</si>
  <si>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</si>
  <si>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</si>
  <si>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</si>
  <si>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</si>
  <si>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</si>
  <si>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</si>
  <si>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</si>
  <si>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46013</t>
  </si>
  <si>
    <t>KRUIBEKE</t>
  </si>
  <si>
    <t>Fluvius</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</si>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</sst>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141116.05394090907</c:v>
                </c:pt>
                <c:pt idx="1">
                  <c:v>34047.9730443355</c:v>
                </c:pt>
                <c:pt idx="2">
                  <c:v>1146.2940000000001</c:v>
                </c:pt>
                <c:pt idx="3">
                  <c:v>13544.432121251974</c:v>
                </c:pt>
                <c:pt idx="4">
                  <c:v>17362.052351248487</c:v>
                </c:pt>
                <c:pt idx="5">
                  <c:v>164326.74435360086</c:v>
                </c:pt>
                <c:pt idx="6">
                  <c:v>1447.0170756949749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141116.05394090907</c:v>
                </c:pt>
                <c:pt idx="1">
                  <c:v>34047.9730443355</c:v>
                </c:pt>
                <c:pt idx="2">
                  <c:v>1146.2940000000001</c:v>
                </c:pt>
                <c:pt idx="3">
                  <c:v>13544.432121251974</c:v>
                </c:pt>
                <c:pt idx="4">
                  <c:v>17362.052351248487</c:v>
                </c:pt>
                <c:pt idx="5">
                  <c:v>164326.74435360086</c:v>
                </c:pt>
                <c:pt idx="6">
                  <c:v>1447.0170756949749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26067.264332676215</c:v>
                </c:pt>
                <c:pt idx="2">
                  <c:v>5883.2817208014931</c:v>
                </c:pt>
                <c:pt idx="3">
                  <c:v>157.39802029268674</c:v>
                </c:pt>
                <c:pt idx="4">
                  <c:v>2821.4670089302222</c:v>
                </c:pt>
                <c:pt idx="5">
                  <c:v>3108.7495809651737</c:v>
                </c:pt>
                <c:pt idx="6">
                  <c:v>41216.726411182091</c:v>
                </c:pt>
                <c:pt idx="7">
                  <c:v>363.65565310788531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26067.264332676215</c:v>
                </c:pt>
                <c:pt idx="2">
                  <c:v>5883.2817208014931</c:v>
                </c:pt>
                <c:pt idx="3">
                  <c:v>157.39802029268674</c:v>
                </c:pt>
                <c:pt idx="4">
                  <c:v>2821.4670089302222</c:v>
                </c:pt>
                <c:pt idx="5">
                  <c:v>3108.7495809651737</c:v>
                </c:pt>
                <c:pt idx="6">
                  <c:v>41216.726411182091</c:v>
                </c:pt>
                <c:pt idx="7">
                  <c:v>363.65565310788531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46013</v>
      </c>
      <c r="B6" s="384"/>
      <c r="C6" s="385"/>
    </row>
    <row r="7" spans="1:7" s="382" customFormat="1" ht="15.75" customHeight="1">
      <c r="A7" s="386" t="str">
        <f>txtMunicipality</f>
        <v>KRUIBEKE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14468.094493600858</v>
      </c>
      <c r="D10" s="973">
        <f ca="1">tertiair!C16</f>
        <v>0</v>
      </c>
      <c r="E10" s="973">
        <f ca="1">tertiair!D16</f>
        <v>16624.920475661394</v>
      </c>
      <c r="F10" s="973">
        <f>tertiair!E16</f>
        <v>239.85447651495878</v>
      </c>
      <c r="G10" s="973">
        <f ca="1">tertiair!F16</f>
        <v>2402.1230169273972</v>
      </c>
      <c r="H10" s="973">
        <f>tertiair!G16</f>
        <v>0</v>
      </c>
      <c r="I10" s="973">
        <f>tertiair!H16</f>
        <v>0</v>
      </c>
      <c r="J10" s="973">
        <f>tertiair!I16</f>
        <v>0</v>
      </c>
      <c r="K10" s="973">
        <f>tertiair!J16</f>
        <v>3.6727182759270977E-2</v>
      </c>
      <c r="L10" s="973">
        <f>tertiair!K16</f>
        <v>0</v>
      </c>
      <c r="M10" s="973">
        <f ca="1">tertiair!L16</f>
        <v>0</v>
      </c>
      <c r="N10" s="973">
        <f>tertiair!M16</f>
        <v>0</v>
      </c>
      <c r="O10" s="973">
        <f ca="1">tertiair!N16</f>
        <v>1456.1111877814621</v>
      </c>
      <c r="P10" s="973">
        <f>tertiair!O16</f>
        <v>3.1266666666666669</v>
      </c>
      <c r="Q10" s="974">
        <f>tertiair!P16</f>
        <v>0</v>
      </c>
      <c r="R10" s="668">
        <f ca="1">SUM(C10:Q10)</f>
        <v>35194.267044335487</v>
      </c>
      <c r="S10" s="67"/>
    </row>
    <row r="11" spans="1:19" s="441" customFormat="1">
      <c r="A11" s="777" t="s">
        <v>219</v>
      </c>
      <c r="B11" s="782"/>
      <c r="C11" s="973">
        <f>huishoudens!B8</f>
        <v>29643.254227233276</v>
      </c>
      <c r="D11" s="973">
        <f>huishoudens!C8</f>
        <v>0</v>
      </c>
      <c r="E11" s="973">
        <f>huishoudens!D8</f>
        <v>76876.718322333094</v>
      </c>
      <c r="F11" s="973">
        <f>huishoudens!E8</f>
        <v>919.41450179576862</v>
      </c>
      <c r="G11" s="973">
        <f>huishoudens!F8</f>
        <v>23293.842182505759</v>
      </c>
      <c r="H11" s="973">
        <f>huishoudens!G8</f>
        <v>0</v>
      </c>
      <c r="I11" s="973">
        <f>huishoudens!H8</f>
        <v>0</v>
      </c>
      <c r="J11" s="973">
        <f>huishoudens!I8</f>
        <v>0</v>
      </c>
      <c r="K11" s="973">
        <f>huishoudens!J8</f>
        <v>112.08735521805062</v>
      </c>
      <c r="L11" s="973">
        <f>huishoudens!K8</f>
        <v>0</v>
      </c>
      <c r="M11" s="973">
        <f>huishoudens!L8</f>
        <v>0</v>
      </c>
      <c r="N11" s="973">
        <f>huishoudens!M8</f>
        <v>0</v>
      </c>
      <c r="O11" s="973">
        <f>huishoudens!N8</f>
        <v>9357.0106851564269</v>
      </c>
      <c r="P11" s="973">
        <f>huishoudens!O8</f>
        <v>284.52666666666664</v>
      </c>
      <c r="Q11" s="974">
        <f>huishoudens!P8</f>
        <v>629.20000000000005</v>
      </c>
      <c r="R11" s="668">
        <f>SUM(C11:Q11)</f>
        <v>141116.05394090907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6881.0790063842342</v>
      </c>
      <c r="D13" s="973">
        <f>industrie!C18</f>
        <v>0</v>
      </c>
      <c r="E13" s="973">
        <f>industrie!D18</f>
        <v>7452.3604764610973</v>
      </c>
      <c r="F13" s="973">
        <f>industrie!E18</f>
        <v>601.29269543274188</v>
      </c>
      <c r="G13" s="973">
        <f>industrie!F18</f>
        <v>1933.3681841082935</v>
      </c>
      <c r="H13" s="973">
        <f>industrie!G18</f>
        <v>0</v>
      </c>
      <c r="I13" s="973">
        <f>industrie!H18</f>
        <v>0</v>
      </c>
      <c r="J13" s="973">
        <f>industrie!I18</f>
        <v>0</v>
      </c>
      <c r="K13" s="973">
        <f>industrie!J18</f>
        <v>16.459636401009593</v>
      </c>
      <c r="L13" s="973">
        <f>industrie!K18</f>
        <v>0</v>
      </c>
      <c r="M13" s="973">
        <f>industrie!L18</f>
        <v>0</v>
      </c>
      <c r="N13" s="973">
        <f>industrie!M18</f>
        <v>0</v>
      </c>
      <c r="O13" s="973">
        <f>industrie!N18</f>
        <v>477.49235246111061</v>
      </c>
      <c r="P13" s="973">
        <f>industrie!O18</f>
        <v>0</v>
      </c>
      <c r="Q13" s="974">
        <f>industrie!P18</f>
        <v>0</v>
      </c>
      <c r="R13" s="668">
        <f>SUM(C13:Q13)</f>
        <v>17362.052351248487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50992.427727218368</v>
      </c>
      <c r="D16" s="700">
        <f t="shared" ref="D16:R16" ca="1" si="0">SUM(D9:D15)</f>
        <v>0</v>
      </c>
      <c r="E16" s="700">
        <f t="shared" ca="1" si="0"/>
        <v>100953.99927445558</v>
      </c>
      <c r="F16" s="700">
        <f t="shared" si="0"/>
        <v>1760.5616737434693</v>
      </c>
      <c r="G16" s="700">
        <f t="shared" ca="1" si="0"/>
        <v>27629.333383541452</v>
      </c>
      <c r="H16" s="700">
        <f t="shared" si="0"/>
        <v>0</v>
      </c>
      <c r="I16" s="700">
        <f t="shared" si="0"/>
        <v>0</v>
      </c>
      <c r="J16" s="700">
        <f t="shared" si="0"/>
        <v>0</v>
      </c>
      <c r="K16" s="700">
        <f t="shared" si="0"/>
        <v>128.58371880181949</v>
      </c>
      <c r="L16" s="700">
        <f t="shared" si="0"/>
        <v>0</v>
      </c>
      <c r="M16" s="700">
        <f t="shared" ca="1" si="0"/>
        <v>0</v>
      </c>
      <c r="N16" s="700">
        <f t="shared" si="0"/>
        <v>0</v>
      </c>
      <c r="O16" s="700">
        <f t="shared" ca="1" si="0"/>
        <v>11290.614225399</v>
      </c>
      <c r="P16" s="700">
        <f t="shared" si="0"/>
        <v>287.65333333333331</v>
      </c>
      <c r="Q16" s="700">
        <f t="shared" si="0"/>
        <v>629.20000000000005</v>
      </c>
      <c r="R16" s="700">
        <f t="shared" ca="1" si="0"/>
        <v>193672.37333649304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14.419730408056065</v>
      </c>
      <c r="D19" s="973">
        <f>transport!C54</f>
        <v>0</v>
      </c>
      <c r="E19" s="973">
        <f>transport!D54</f>
        <v>0</v>
      </c>
      <c r="F19" s="973">
        <f>transport!E54</f>
        <v>0</v>
      </c>
      <c r="G19" s="973">
        <f>transport!F54</f>
        <v>0</v>
      </c>
      <c r="H19" s="973">
        <f>transport!G54</f>
        <v>1354.5905430901703</v>
      </c>
      <c r="I19" s="973">
        <f>transport!H54</f>
        <v>0</v>
      </c>
      <c r="J19" s="973">
        <f>transport!I54</f>
        <v>0</v>
      </c>
      <c r="K19" s="973">
        <f>transport!J54</f>
        <v>0</v>
      </c>
      <c r="L19" s="973">
        <f>transport!K54</f>
        <v>0</v>
      </c>
      <c r="M19" s="973">
        <f>transport!L54</f>
        <v>0</v>
      </c>
      <c r="N19" s="973">
        <f>transport!M54</f>
        <v>78.006802196748652</v>
      </c>
      <c r="O19" s="973">
        <f>transport!N54</f>
        <v>0</v>
      </c>
      <c r="P19" s="973">
        <f>transport!O54</f>
        <v>0</v>
      </c>
      <c r="Q19" s="974">
        <f>transport!P54</f>
        <v>0</v>
      </c>
      <c r="R19" s="668">
        <f>SUM(C19:Q19)</f>
        <v>1447.0170756949749</v>
      </c>
      <c r="S19" s="67"/>
    </row>
    <row r="20" spans="1:19" s="441" customFormat="1">
      <c r="A20" s="777" t="s">
        <v>301</v>
      </c>
      <c r="B20" s="782"/>
      <c r="C20" s="973">
        <f>transport!B14</f>
        <v>81.115187993419383</v>
      </c>
      <c r="D20" s="973">
        <f>transport!C14</f>
        <v>0</v>
      </c>
      <c r="E20" s="973">
        <f>transport!D14</f>
        <v>122.0354206188678</v>
      </c>
      <c r="F20" s="973">
        <f>transport!E14</f>
        <v>239.64239835376003</v>
      </c>
      <c r="G20" s="973">
        <f>transport!F14</f>
        <v>0</v>
      </c>
      <c r="H20" s="973">
        <f>transport!G14</f>
        <v>135265.52854794776</v>
      </c>
      <c r="I20" s="973">
        <f>transport!H14</f>
        <v>20123.061668057093</v>
      </c>
      <c r="J20" s="973">
        <f>transport!I14</f>
        <v>0</v>
      </c>
      <c r="K20" s="973">
        <f>transport!J14</f>
        <v>0</v>
      </c>
      <c r="L20" s="973">
        <f>transport!K14</f>
        <v>0</v>
      </c>
      <c r="M20" s="973">
        <f>transport!L14</f>
        <v>0</v>
      </c>
      <c r="N20" s="973">
        <f>transport!M14</f>
        <v>8495.3611306299808</v>
      </c>
      <c r="O20" s="973">
        <f>transport!N14</f>
        <v>0</v>
      </c>
      <c r="P20" s="973">
        <f>transport!O14</f>
        <v>0</v>
      </c>
      <c r="Q20" s="974">
        <f>transport!P14</f>
        <v>0</v>
      </c>
      <c r="R20" s="668">
        <f>SUM(C20:Q20)</f>
        <v>164326.74435360086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95.534918401475451</v>
      </c>
      <c r="D22" s="780">
        <f t="shared" ref="D22:R22" si="1">SUM(D18:D21)</f>
        <v>0</v>
      </c>
      <c r="E22" s="780">
        <f t="shared" si="1"/>
        <v>122.0354206188678</v>
      </c>
      <c r="F22" s="780">
        <f t="shared" si="1"/>
        <v>239.64239835376003</v>
      </c>
      <c r="G22" s="780">
        <f t="shared" si="1"/>
        <v>0</v>
      </c>
      <c r="H22" s="780">
        <f t="shared" si="1"/>
        <v>136620.11909103792</v>
      </c>
      <c r="I22" s="780">
        <f t="shared" si="1"/>
        <v>20123.061668057093</v>
      </c>
      <c r="J22" s="780">
        <f t="shared" si="1"/>
        <v>0</v>
      </c>
      <c r="K22" s="780">
        <f t="shared" si="1"/>
        <v>0</v>
      </c>
      <c r="L22" s="780">
        <f t="shared" si="1"/>
        <v>0</v>
      </c>
      <c r="M22" s="780">
        <f t="shared" si="1"/>
        <v>0</v>
      </c>
      <c r="N22" s="780">
        <f t="shared" si="1"/>
        <v>8573.3679328267299</v>
      </c>
      <c r="O22" s="780">
        <f t="shared" si="1"/>
        <v>0</v>
      </c>
      <c r="P22" s="780">
        <f t="shared" si="1"/>
        <v>0</v>
      </c>
      <c r="Q22" s="780">
        <f t="shared" si="1"/>
        <v>0</v>
      </c>
      <c r="R22" s="780">
        <f t="shared" si="1"/>
        <v>165773.76142929585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2145.3118775164421</v>
      </c>
      <c r="D24" s="973">
        <f>+landbouw!C8</f>
        <v>3573</v>
      </c>
      <c r="E24" s="973">
        <f>+landbouw!D8</f>
        <v>0</v>
      </c>
      <c r="F24" s="973">
        <f>+landbouw!E8</f>
        <v>63.057268618986015</v>
      </c>
      <c r="G24" s="973">
        <f>+landbouw!F8</f>
        <v>7452.2533551643537</v>
      </c>
      <c r="H24" s="973">
        <f>+landbouw!G8</f>
        <v>0</v>
      </c>
      <c r="I24" s="973">
        <f>+landbouw!H8</f>
        <v>0</v>
      </c>
      <c r="J24" s="973">
        <f>+landbouw!I8</f>
        <v>0</v>
      </c>
      <c r="K24" s="973">
        <f>+landbouw!J8</f>
        <v>310.80961995219218</v>
      </c>
      <c r="L24" s="973">
        <f>+landbouw!K8</f>
        <v>0</v>
      </c>
      <c r="M24" s="973">
        <f>+landbouw!L8</f>
        <v>0</v>
      </c>
      <c r="N24" s="973">
        <f>+landbouw!M8</f>
        <v>0</v>
      </c>
      <c r="O24" s="973">
        <f>+landbouw!N8</f>
        <v>0</v>
      </c>
      <c r="P24" s="973">
        <f>+landbouw!O8</f>
        <v>0</v>
      </c>
      <c r="Q24" s="974">
        <f>+landbouw!P8</f>
        <v>0</v>
      </c>
      <c r="R24" s="668">
        <f>SUM(C24:Q24)</f>
        <v>13544.432121251974</v>
      </c>
      <c r="S24" s="67"/>
    </row>
    <row r="25" spans="1:19" s="441" customFormat="1" ht="15" thickBot="1">
      <c r="A25" s="799" t="s">
        <v>808</v>
      </c>
      <c r="B25" s="976"/>
      <c r="C25" s="977">
        <f>IF(Onbekend_ele_kWh="---",0,Onbekend_ele_kWh)/1000+IF(REST_rest_ele_kWh="---",0,REST_rest_ele_kWh)/1000</f>
        <v>1582.1767014556899</v>
      </c>
      <c r="D25" s="977"/>
      <c r="E25" s="977">
        <f>IF(onbekend_gas_kWh="---",0,onbekend_gas_kWh)/1000+IF(REST_rest_gas_kWh="---",0,REST_rest_gas_kWh)/1000</f>
        <v>2168.1548954820696</v>
      </c>
      <c r="F25" s="977"/>
      <c r="G25" s="977"/>
      <c r="H25" s="977"/>
      <c r="I25" s="977"/>
      <c r="J25" s="977"/>
      <c r="K25" s="977"/>
      <c r="L25" s="977"/>
      <c r="M25" s="977"/>
      <c r="N25" s="977"/>
      <c r="O25" s="977"/>
      <c r="P25" s="977"/>
      <c r="Q25" s="978"/>
      <c r="R25" s="668">
        <f>SUM(C25:Q25)</f>
        <v>3750.3315969377595</v>
      </c>
      <c r="S25" s="67"/>
    </row>
    <row r="26" spans="1:19" s="441" customFormat="1" ht="15.75" thickBot="1">
      <c r="A26" s="673" t="s">
        <v>809</v>
      </c>
      <c r="B26" s="785"/>
      <c r="C26" s="780">
        <f>SUM(C24:C25)</f>
        <v>3727.488578972132</v>
      </c>
      <c r="D26" s="780">
        <f t="shared" ref="D26:R26" si="2">SUM(D24:D25)</f>
        <v>3573</v>
      </c>
      <c r="E26" s="780">
        <f t="shared" si="2"/>
        <v>2168.1548954820696</v>
      </c>
      <c r="F26" s="780">
        <f t="shared" si="2"/>
        <v>63.057268618986015</v>
      </c>
      <c r="G26" s="780">
        <f t="shared" si="2"/>
        <v>7452.2533551643537</v>
      </c>
      <c r="H26" s="780">
        <f t="shared" si="2"/>
        <v>0</v>
      </c>
      <c r="I26" s="780">
        <f t="shared" si="2"/>
        <v>0</v>
      </c>
      <c r="J26" s="780">
        <f t="shared" si="2"/>
        <v>0</v>
      </c>
      <c r="K26" s="780">
        <f t="shared" si="2"/>
        <v>310.80961995219218</v>
      </c>
      <c r="L26" s="780">
        <f t="shared" si="2"/>
        <v>0</v>
      </c>
      <c r="M26" s="780">
        <f t="shared" si="2"/>
        <v>0</v>
      </c>
      <c r="N26" s="780">
        <f t="shared" si="2"/>
        <v>0</v>
      </c>
      <c r="O26" s="780">
        <f t="shared" si="2"/>
        <v>0</v>
      </c>
      <c r="P26" s="780">
        <f t="shared" si="2"/>
        <v>0</v>
      </c>
      <c r="Q26" s="780">
        <f t="shared" si="2"/>
        <v>0</v>
      </c>
      <c r="R26" s="780">
        <f t="shared" si="2"/>
        <v>17294.763718189733</v>
      </c>
      <c r="S26" s="67"/>
    </row>
    <row r="27" spans="1:19" s="441" customFormat="1" ht="17.25" thickTop="1" thickBot="1">
      <c r="A27" s="674" t="s">
        <v>115</v>
      </c>
      <c r="B27" s="773"/>
      <c r="C27" s="675">
        <f ca="1">C22+C16+C26</f>
        <v>54815.451224591976</v>
      </c>
      <c r="D27" s="675">
        <f t="shared" ref="D27:R27" ca="1" si="3">D22+D16+D26</f>
        <v>3573</v>
      </c>
      <c r="E27" s="675">
        <f t="shared" ca="1" si="3"/>
        <v>103244.18959055652</v>
      </c>
      <c r="F27" s="675">
        <f t="shared" si="3"/>
        <v>2063.2613407162153</v>
      </c>
      <c r="G27" s="675">
        <f t="shared" ca="1" si="3"/>
        <v>35081.58673870581</v>
      </c>
      <c r="H27" s="675">
        <f t="shared" si="3"/>
        <v>136620.11909103792</v>
      </c>
      <c r="I27" s="675">
        <f t="shared" si="3"/>
        <v>20123.061668057093</v>
      </c>
      <c r="J27" s="675">
        <f t="shared" si="3"/>
        <v>0</v>
      </c>
      <c r="K27" s="675">
        <f t="shared" si="3"/>
        <v>439.39333875401167</v>
      </c>
      <c r="L27" s="675">
        <f t="shared" si="3"/>
        <v>0</v>
      </c>
      <c r="M27" s="675">
        <f t="shared" ca="1" si="3"/>
        <v>0</v>
      </c>
      <c r="N27" s="675">
        <f t="shared" si="3"/>
        <v>8573.3679328267299</v>
      </c>
      <c r="O27" s="675">
        <f t="shared" ca="1" si="3"/>
        <v>11290.614225399</v>
      </c>
      <c r="P27" s="675">
        <f t="shared" si="3"/>
        <v>287.65333333333331</v>
      </c>
      <c r="Q27" s="675">
        <f t="shared" si="3"/>
        <v>629.20000000000005</v>
      </c>
      <c r="R27" s="675">
        <f t="shared" ca="1" si="3"/>
        <v>376740.89848397864</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1986.6189918993705</v>
      </c>
      <c r="D40" s="973">
        <f ca="1">tertiair!C20</f>
        <v>0</v>
      </c>
      <c r="E40" s="973">
        <f ca="1">tertiair!D20</f>
        <v>3358.2339360836017</v>
      </c>
      <c r="F40" s="973">
        <f>tertiair!E20</f>
        <v>54.446966168895642</v>
      </c>
      <c r="G40" s="973">
        <f ca="1">tertiair!F20</f>
        <v>641.36684551961514</v>
      </c>
      <c r="H40" s="973">
        <f>tertiair!G20</f>
        <v>0</v>
      </c>
      <c r="I40" s="973">
        <f>tertiair!H20</f>
        <v>0</v>
      </c>
      <c r="J40" s="973">
        <f>tertiair!I20</f>
        <v>0</v>
      </c>
      <c r="K40" s="973">
        <f>tertiair!J20</f>
        <v>1.3001422696781924E-2</v>
      </c>
      <c r="L40" s="973">
        <f>tertiair!K20</f>
        <v>0</v>
      </c>
      <c r="M40" s="973">
        <f ca="1">tertiair!L20</f>
        <v>0</v>
      </c>
      <c r="N40" s="973">
        <f>tertiair!M20</f>
        <v>0</v>
      </c>
      <c r="O40" s="973">
        <f ca="1">tertiair!N20</f>
        <v>0</v>
      </c>
      <c r="P40" s="973">
        <f>tertiair!O20</f>
        <v>0</v>
      </c>
      <c r="Q40" s="742">
        <f>tertiair!P20</f>
        <v>0</v>
      </c>
      <c r="R40" s="818">
        <f t="shared" ca="1" si="4"/>
        <v>6040.6797410941799</v>
      </c>
    </row>
    <row r="41" spans="1:18">
      <c r="A41" s="790" t="s">
        <v>219</v>
      </c>
      <c r="B41" s="797"/>
      <c r="C41" s="973">
        <f ca="1">huishoudens!B12</f>
        <v>4070.3253531810642</v>
      </c>
      <c r="D41" s="973">
        <f ca="1">huishoudens!C12</f>
        <v>0</v>
      </c>
      <c r="E41" s="973">
        <f>huishoudens!D12</f>
        <v>15529.097101111285</v>
      </c>
      <c r="F41" s="973">
        <f>huishoudens!E12</f>
        <v>208.70709190763949</v>
      </c>
      <c r="G41" s="973">
        <f>huishoudens!F12</f>
        <v>6219.455862729038</v>
      </c>
      <c r="H41" s="973">
        <f>huishoudens!G12</f>
        <v>0</v>
      </c>
      <c r="I41" s="973">
        <f>huishoudens!H12</f>
        <v>0</v>
      </c>
      <c r="J41" s="973">
        <f>huishoudens!I12</f>
        <v>0</v>
      </c>
      <c r="K41" s="973">
        <f>huishoudens!J12</f>
        <v>39.67892374718992</v>
      </c>
      <c r="L41" s="973">
        <f>huishoudens!K12</f>
        <v>0</v>
      </c>
      <c r="M41" s="973">
        <f>huishoudens!L12</f>
        <v>0</v>
      </c>
      <c r="N41" s="973">
        <f>huishoudens!M12</f>
        <v>0</v>
      </c>
      <c r="O41" s="973">
        <f>huishoudens!N12</f>
        <v>0</v>
      </c>
      <c r="P41" s="973">
        <f>huishoudens!O12</f>
        <v>0</v>
      </c>
      <c r="Q41" s="742">
        <f>huishoudens!P12</f>
        <v>0</v>
      </c>
      <c r="R41" s="818">
        <f t="shared" ca="1" si="4"/>
        <v>26067.264332676215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944.84330641392728</v>
      </c>
      <c r="D43" s="973">
        <f ca="1">industrie!C22</f>
        <v>0</v>
      </c>
      <c r="E43" s="973">
        <f>industrie!D22</f>
        <v>1505.3768162451418</v>
      </c>
      <c r="F43" s="973">
        <f>industrie!E22</f>
        <v>136.49344186323242</v>
      </c>
      <c r="G43" s="973">
        <f>industrie!F22</f>
        <v>516.20930515691441</v>
      </c>
      <c r="H43" s="973">
        <f>industrie!G22</f>
        <v>0</v>
      </c>
      <c r="I43" s="973">
        <f>industrie!H22</f>
        <v>0</v>
      </c>
      <c r="J43" s="973">
        <f>industrie!I22</f>
        <v>0</v>
      </c>
      <c r="K43" s="973">
        <f>industrie!J22</f>
        <v>5.826711285957396</v>
      </c>
      <c r="L43" s="973">
        <f>industrie!K22</f>
        <v>0</v>
      </c>
      <c r="M43" s="973">
        <f>industrie!L22</f>
        <v>0</v>
      </c>
      <c r="N43" s="973">
        <f>industrie!M22</f>
        <v>0</v>
      </c>
      <c r="O43" s="973">
        <f>industrie!N22</f>
        <v>0</v>
      </c>
      <c r="P43" s="973">
        <f>industrie!O22</f>
        <v>0</v>
      </c>
      <c r="Q43" s="742">
        <f>industrie!P22</f>
        <v>0</v>
      </c>
      <c r="R43" s="817">
        <f t="shared" ca="1" si="4"/>
        <v>3108.7495809651737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7001.7876514943619</v>
      </c>
      <c r="D46" s="700">
        <f t="shared" ref="D46:Q46" ca="1" si="5">SUM(D39:D45)</f>
        <v>0</v>
      </c>
      <c r="E46" s="700">
        <f t="shared" ca="1" si="5"/>
        <v>20392.707853440028</v>
      </c>
      <c r="F46" s="700">
        <f t="shared" si="5"/>
        <v>399.64749993976756</v>
      </c>
      <c r="G46" s="700">
        <f t="shared" ca="1" si="5"/>
        <v>7377.0320134055673</v>
      </c>
      <c r="H46" s="700">
        <f t="shared" si="5"/>
        <v>0</v>
      </c>
      <c r="I46" s="700">
        <f t="shared" si="5"/>
        <v>0</v>
      </c>
      <c r="J46" s="700">
        <f t="shared" si="5"/>
        <v>0</v>
      </c>
      <c r="K46" s="700">
        <f t="shared" si="5"/>
        <v>45.518636455844096</v>
      </c>
      <c r="L46" s="700">
        <f t="shared" si="5"/>
        <v>0</v>
      </c>
      <c r="M46" s="700">
        <f t="shared" ca="1" si="5"/>
        <v>0</v>
      </c>
      <c r="N46" s="700">
        <f t="shared" si="5"/>
        <v>0</v>
      </c>
      <c r="O46" s="700">
        <f t="shared" ca="1" si="5"/>
        <v>0</v>
      </c>
      <c r="P46" s="700">
        <f t="shared" si="5"/>
        <v>0</v>
      </c>
      <c r="Q46" s="700">
        <f t="shared" si="5"/>
        <v>0</v>
      </c>
      <c r="R46" s="700">
        <f ca="1">SUM(R39:R45)</f>
        <v>35216.693654735573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1.9799781028098205</v>
      </c>
      <c r="D49" s="973">
        <f ca="1">transport!C58</f>
        <v>0</v>
      </c>
      <c r="E49" s="973">
        <f>transport!D58</f>
        <v>0</v>
      </c>
      <c r="F49" s="973">
        <f>transport!E58</f>
        <v>0</v>
      </c>
      <c r="G49" s="973">
        <f>transport!F58</f>
        <v>0</v>
      </c>
      <c r="H49" s="973">
        <f>transport!G58</f>
        <v>361.6756750050755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363.65565310788531</v>
      </c>
    </row>
    <row r="50" spans="1:18">
      <c r="A50" s="793" t="s">
        <v>301</v>
      </c>
      <c r="B50" s="803"/>
      <c r="C50" s="671">
        <f ca="1">transport!B18</f>
        <v>11.137954142509097</v>
      </c>
      <c r="D50" s="671">
        <f>transport!C18</f>
        <v>0</v>
      </c>
      <c r="E50" s="671">
        <f>transport!D18</f>
        <v>24.651154965011298</v>
      </c>
      <c r="F50" s="671">
        <f>transport!E18</f>
        <v>54.398824426303527</v>
      </c>
      <c r="G50" s="671">
        <f>transport!F18</f>
        <v>0</v>
      </c>
      <c r="H50" s="671">
        <f>transport!G18</f>
        <v>36115.896122302052</v>
      </c>
      <c r="I50" s="671">
        <f>transport!H18</f>
        <v>5010.6423553462164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41216.726411182091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13.117932245318917</v>
      </c>
      <c r="D52" s="700">
        <f t="shared" ref="D52:Q52" ca="1" si="6">SUM(D48:D51)</f>
        <v>0</v>
      </c>
      <c r="E52" s="700">
        <f t="shared" si="6"/>
        <v>24.651154965011298</v>
      </c>
      <c r="F52" s="700">
        <f t="shared" si="6"/>
        <v>54.398824426303527</v>
      </c>
      <c r="G52" s="700">
        <f t="shared" si="6"/>
        <v>0</v>
      </c>
      <c r="H52" s="700">
        <f t="shared" si="6"/>
        <v>36477.57179730713</v>
      </c>
      <c r="I52" s="700">
        <f t="shared" si="6"/>
        <v>5010.6423553462164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41580.382064289974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294.573505951767</v>
      </c>
      <c r="D54" s="671">
        <f ca="1">+landbouw!C12</f>
        <v>412.80125170998633</v>
      </c>
      <c r="E54" s="671">
        <f>+landbouw!D12</f>
        <v>0</v>
      </c>
      <c r="F54" s="671">
        <f>+landbouw!E12</f>
        <v>14.313999976509827</v>
      </c>
      <c r="G54" s="671">
        <f>+landbouw!F12</f>
        <v>1989.7516458288826</v>
      </c>
      <c r="H54" s="671">
        <f>+landbouw!G12</f>
        <v>0</v>
      </c>
      <c r="I54" s="671">
        <f>+landbouw!H12</f>
        <v>0</v>
      </c>
      <c r="J54" s="671">
        <f>+landbouw!I12</f>
        <v>0</v>
      </c>
      <c r="K54" s="671">
        <f>+landbouw!J12</f>
        <v>110.02660546307602</v>
      </c>
      <c r="L54" s="671">
        <f>+landbouw!K12</f>
        <v>0</v>
      </c>
      <c r="M54" s="671">
        <f>+landbouw!L12</f>
        <v>0</v>
      </c>
      <c r="N54" s="671">
        <f>+landbouw!M12</f>
        <v>0</v>
      </c>
      <c r="O54" s="671">
        <f>+landbouw!N12</f>
        <v>0</v>
      </c>
      <c r="P54" s="671">
        <f>+landbouw!O12</f>
        <v>0</v>
      </c>
      <c r="Q54" s="672">
        <f>+landbouw!P12</f>
        <v>0</v>
      </c>
      <c r="R54" s="699">
        <f ca="1">SUM(C54:Q54)</f>
        <v>2821.4670089302222</v>
      </c>
    </row>
    <row r="55" spans="1:18" ht="15" thickBot="1">
      <c r="A55" s="793" t="s">
        <v>808</v>
      </c>
      <c r="B55" s="803"/>
      <c r="C55" s="671">
        <f ca="1">C25*'EF ele_warmte'!B12</f>
        <v>217.24922276688076</v>
      </c>
      <c r="D55" s="671"/>
      <c r="E55" s="671">
        <f>E25*EF_CO2_aardgas</f>
        <v>437.96728888737806</v>
      </c>
      <c r="F55" s="671"/>
      <c r="G55" s="671"/>
      <c r="H55" s="671"/>
      <c r="I55" s="671"/>
      <c r="J55" s="671"/>
      <c r="K55" s="671"/>
      <c r="L55" s="671"/>
      <c r="M55" s="671"/>
      <c r="N55" s="671"/>
      <c r="O55" s="671"/>
      <c r="P55" s="671"/>
      <c r="Q55" s="672"/>
      <c r="R55" s="699">
        <f ca="1">SUM(C55:Q55)</f>
        <v>655.21651165425885</v>
      </c>
    </row>
    <row r="56" spans="1:18" ht="15.75" thickBot="1">
      <c r="A56" s="791" t="s">
        <v>809</v>
      </c>
      <c r="B56" s="804"/>
      <c r="C56" s="700">
        <f ca="1">SUM(C54:C55)</f>
        <v>511.8227287186478</v>
      </c>
      <c r="D56" s="700">
        <f t="shared" ref="D56:Q56" ca="1" si="7">SUM(D54:D55)</f>
        <v>412.80125170998633</v>
      </c>
      <c r="E56" s="700">
        <f t="shared" si="7"/>
        <v>437.96728888737806</v>
      </c>
      <c r="F56" s="700">
        <f t="shared" si="7"/>
        <v>14.313999976509827</v>
      </c>
      <c r="G56" s="700">
        <f t="shared" si="7"/>
        <v>1989.7516458288826</v>
      </c>
      <c r="H56" s="700">
        <f t="shared" si="7"/>
        <v>0</v>
      </c>
      <c r="I56" s="700">
        <f t="shared" si="7"/>
        <v>0</v>
      </c>
      <c r="J56" s="700">
        <f t="shared" si="7"/>
        <v>0</v>
      </c>
      <c r="K56" s="700">
        <f t="shared" si="7"/>
        <v>110.02660546307602</v>
      </c>
      <c r="L56" s="700">
        <f t="shared" si="7"/>
        <v>0</v>
      </c>
      <c r="M56" s="700">
        <f t="shared" si="7"/>
        <v>0</v>
      </c>
      <c r="N56" s="700">
        <f t="shared" si="7"/>
        <v>0</v>
      </c>
      <c r="O56" s="700">
        <f t="shared" si="7"/>
        <v>0</v>
      </c>
      <c r="P56" s="700">
        <f t="shared" si="7"/>
        <v>0</v>
      </c>
      <c r="Q56" s="701">
        <f t="shared" si="7"/>
        <v>0</v>
      </c>
      <c r="R56" s="702">
        <f ca="1">SUM(R54:R55)</f>
        <v>3476.6835205844809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7526.7283124583282</v>
      </c>
      <c r="D61" s="708">
        <f t="shared" ref="D61:Q61" ca="1" si="8">D46+D52+D56</f>
        <v>412.80125170998633</v>
      </c>
      <c r="E61" s="708">
        <f t="shared" ca="1" si="8"/>
        <v>20855.326297292417</v>
      </c>
      <c r="F61" s="708">
        <f t="shared" si="8"/>
        <v>468.3603243425809</v>
      </c>
      <c r="G61" s="708">
        <f t="shared" ca="1" si="8"/>
        <v>9366.7836592344502</v>
      </c>
      <c r="H61" s="708">
        <f t="shared" si="8"/>
        <v>36477.57179730713</v>
      </c>
      <c r="I61" s="708">
        <f t="shared" si="8"/>
        <v>5010.6423553462164</v>
      </c>
      <c r="J61" s="708">
        <f t="shared" si="8"/>
        <v>0</v>
      </c>
      <c r="K61" s="708">
        <f t="shared" si="8"/>
        <v>155.54524191892011</v>
      </c>
      <c r="L61" s="708">
        <f t="shared" si="8"/>
        <v>0</v>
      </c>
      <c r="M61" s="708">
        <f t="shared" ca="1" si="8"/>
        <v>0</v>
      </c>
      <c r="N61" s="708">
        <f t="shared" si="8"/>
        <v>0</v>
      </c>
      <c r="O61" s="708">
        <f t="shared" ca="1" si="8"/>
        <v>0</v>
      </c>
      <c r="P61" s="708">
        <f t="shared" si="8"/>
        <v>0</v>
      </c>
      <c r="Q61" s="708">
        <f t="shared" si="8"/>
        <v>0</v>
      </c>
      <c r="R61" s="708">
        <f ca="1">R46+R52+R56</f>
        <v>80273.759239610023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0.13731034123242966</v>
      </c>
      <c r="D63" s="749">
        <f t="shared" ca="1" si="9"/>
        <v>0.11553351573187415</v>
      </c>
      <c r="E63" s="984">
        <f t="shared" ca="1" si="9"/>
        <v>0.20200000000000001</v>
      </c>
      <c r="F63" s="749">
        <f t="shared" si="9"/>
        <v>0.22700000000000001</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14296.319439613448</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5027.0025353481487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1730.1976744186045</v>
      </c>
      <c r="C76" s="718">
        <f>'lokale energieproductie'!B8*IFERROR(SUM(D76:H76)/SUM(D76:O76),0)</f>
        <v>1275.8023255813955</v>
      </c>
      <c r="D76" s="994">
        <f>'lokale energieproductie'!C8</f>
        <v>822.43502051983614</v>
      </c>
      <c r="E76" s="995">
        <f>'lokale energieproductie'!D8</f>
        <v>0</v>
      </c>
      <c r="F76" s="995">
        <f>'lokale energieproductie'!E8</f>
        <v>678.50889192886461</v>
      </c>
      <c r="G76" s="995">
        <f>'lokale energieproductie'!F8</f>
        <v>0</v>
      </c>
      <c r="H76" s="995">
        <f>'lokale energieproductie'!G8</f>
        <v>0</v>
      </c>
      <c r="I76" s="995">
        <f>'lokale energieproductie'!I8</f>
        <v>2035.5266757865938</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347.29374829001381</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21053.5196493802</v>
      </c>
      <c r="C78" s="723">
        <f>SUM(C72:C77)</f>
        <v>1275.8023255813955</v>
      </c>
      <c r="D78" s="724">
        <f t="shared" ref="D78:H78" si="10">SUM(D76:D77)</f>
        <v>822.43502051983614</v>
      </c>
      <c r="E78" s="724">
        <f t="shared" si="10"/>
        <v>0</v>
      </c>
      <c r="F78" s="724">
        <f t="shared" si="10"/>
        <v>678.50889192886461</v>
      </c>
      <c r="G78" s="724">
        <f t="shared" si="10"/>
        <v>0</v>
      </c>
      <c r="H78" s="724">
        <f t="shared" si="10"/>
        <v>0</v>
      </c>
      <c r="I78" s="724">
        <f>SUM(I76:I77)</f>
        <v>2035.5266757865938</v>
      </c>
      <c r="J78" s="724">
        <f>SUM(J76:J77)</f>
        <v>0</v>
      </c>
      <c r="K78" s="724">
        <f t="shared" ref="K78:L78" si="11">SUM(K76:K77)</f>
        <v>0</v>
      </c>
      <c r="L78" s="724">
        <f t="shared" si="11"/>
        <v>0</v>
      </c>
      <c r="M78" s="724">
        <f>SUM(M76:M77)</f>
        <v>0</v>
      </c>
      <c r="N78" s="724">
        <f>SUM(N76:N77)</f>
        <v>0</v>
      </c>
      <c r="O78" s="828">
        <f>SUM(O76:O77)</f>
        <v>0</v>
      </c>
      <c r="P78" s="725">
        <v>0</v>
      </c>
      <c r="Q78" s="725">
        <f>SUM(Q76:Q77)</f>
        <v>347.29374829001381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2056.5523255813951</v>
      </c>
      <c r="C87" s="734">
        <f>'lokale energieproductie'!B17*IFERROR(SUM(D87:H87)/SUM(D87:O87),0)</f>
        <v>1516.4476744186045</v>
      </c>
      <c r="D87" s="745">
        <f>'lokale energieproductie'!C17</f>
        <v>977.56497948016431</v>
      </c>
      <c r="E87" s="745">
        <f>'lokale energieproductie'!D17</f>
        <v>0</v>
      </c>
      <c r="F87" s="745">
        <f>'lokale energieproductie'!E17</f>
        <v>806.49110807113539</v>
      </c>
      <c r="G87" s="745">
        <f>'lokale energieproductie'!F17</f>
        <v>0</v>
      </c>
      <c r="H87" s="745">
        <f>'lokale energieproductie'!G17</f>
        <v>0</v>
      </c>
      <c r="I87" s="745">
        <f>'lokale energieproductie'!I17</f>
        <v>2419.4733242134062</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412.80125170998633</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2056.5523255813951</v>
      </c>
      <c r="C90" s="723">
        <f>SUM(C87:C89)</f>
        <v>1516.4476744186045</v>
      </c>
      <c r="D90" s="723">
        <f t="shared" ref="D90:H90" si="12">SUM(D87:D89)</f>
        <v>977.56497948016431</v>
      </c>
      <c r="E90" s="723">
        <f t="shared" si="12"/>
        <v>0</v>
      </c>
      <c r="F90" s="723">
        <f t="shared" si="12"/>
        <v>806.49110807113539</v>
      </c>
      <c r="G90" s="723">
        <f t="shared" si="12"/>
        <v>0</v>
      </c>
      <c r="H90" s="723">
        <f t="shared" si="12"/>
        <v>0</v>
      </c>
      <c r="I90" s="723">
        <f>SUM(I87:I89)</f>
        <v>2419.4733242134062</v>
      </c>
      <c r="J90" s="723">
        <f>SUM(J87:J89)</f>
        <v>0</v>
      </c>
      <c r="K90" s="723">
        <f t="shared" ref="K90:L90" si="13">SUM(K87:K89)</f>
        <v>0</v>
      </c>
      <c r="L90" s="723">
        <f t="shared" si="13"/>
        <v>0</v>
      </c>
      <c r="M90" s="723">
        <f>SUM(M87:M89)</f>
        <v>0</v>
      </c>
      <c r="N90" s="723">
        <f>SUM(N87:N89)</f>
        <v>0</v>
      </c>
      <c r="O90" s="723">
        <f>SUM(O87:O89)</f>
        <v>0</v>
      </c>
      <c r="P90" s="723">
        <v>0</v>
      </c>
      <c r="Q90" s="723">
        <f>SUM(Q87:Q89)</f>
        <v>412.80125170998633</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29643.254227233276</v>
      </c>
      <c r="C4" s="445">
        <f>huishoudens!C8</f>
        <v>0</v>
      </c>
      <c r="D4" s="445">
        <f>huishoudens!D8</f>
        <v>76876.718322333094</v>
      </c>
      <c r="E4" s="445">
        <f>huishoudens!E8</f>
        <v>919.41450179576862</v>
      </c>
      <c r="F4" s="445">
        <f>huishoudens!F8</f>
        <v>23293.842182505759</v>
      </c>
      <c r="G4" s="445">
        <f>huishoudens!G8</f>
        <v>0</v>
      </c>
      <c r="H4" s="445">
        <f>huishoudens!H8</f>
        <v>0</v>
      </c>
      <c r="I4" s="445">
        <f>huishoudens!I8</f>
        <v>0</v>
      </c>
      <c r="J4" s="445">
        <f>huishoudens!J8</f>
        <v>112.08735521805062</v>
      </c>
      <c r="K4" s="445">
        <f>huishoudens!K8</f>
        <v>0</v>
      </c>
      <c r="L4" s="445">
        <f>huishoudens!L8</f>
        <v>0</v>
      </c>
      <c r="M4" s="445">
        <f>huishoudens!M8</f>
        <v>0</v>
      </c>
      <c r="N4" s="445">
        <f>huishoudens!N8</f>
        <v>9357.0106851564269</v>
      </c>
      <c r="O4" s="445">
        <f>huishoudens!O8</f>
        <v>284.52666666666664</v>
      </c>
      <c r="P4" s="446">
        <f>huishoudens!P8</f>
        <v>629.20000000000005</v>
      </c>
      <c r="Q4" s="447">
        <f>SUM(B4:P4)</f>
        <v>141116.05394090907</v>
      </c>
    </row>
    <row r="5" spans="1:17">
      <c r="A5" s="444" t="s">
        <v>155</v>
      </c>
      <c r="B5" s="445">
        <f ca="1">tertiair!B16</f>
        <v>13321.800493600858</v>
      </c>
      <c r="C5" s="445">
        <f ca="1">tertiair!C16</f>
        <v>0</v>
      </c>
      <c r="D5" s="445">
        <f ca="1">tertiair!D16</f>
        <v>16624.920475661394</v>
      </c>
      <c r="E5" s="445">
        <f>tertiair!E16</f>
        <v>239.85447651495878</v>
      </c>
      <c r="F5" s="445">
        <f ca="1">tertiair!F16</f>
        <v>2402.1230169273972</v>
      </c>
      <c r="G5" s="445">
        <f>tertiair!G16</f>
        <v>0</v>
      </c>
      <c r="H5" s="445">
        <f>tertiair!H16</f>
        <v>0</v>
      </c>
      <c r="I5" s="445">
        <f>tertiair!I16</f>
        <v>0</v>
      </c>
      <c r="J5" s="445">
        <f>tertiair!J16</f>
        <v>3.6727182759270977E-2</v>
      </c>
      <c r="K5" s="445">
        <f>tertiair!K16</f>
        <v>0</v>
      </c>
      <c r="L5" s="445">
        <f ca="1">tertiair!L16</f>
        <v>0</v>
      </c>
      <c r="M5" s="445">
        <f>tertiair!M16</f>
        <v>0</v>
      </c>
      <c r="N5" s="445">
        <f ca="1">tertiair!N16</f>
        <v>1456.1111877814621</v>
      </c>
      <c r="O5" s="445">
        <f>tertiair!O16</f>
        <v>3.1266666666666669</v>
      </c>
      <c r="P5" s="446">
        <f>tertiair!P16</f>
        <v>0</v>
      </c>
      <c r="Q5" s="444">
        <f t="shared" ref="Q5:Q14" ca="1" si="0">SUM(B5:P5)</f>
        <v>34047.9730443355</v>
      </c>
    </row>
    <row r="6" spans="1:17">
      <c r="A6" s="444" t="s">
        <v>193</v>
      </c>
      <c r="B6" s="445">
        <f>'openbare verlichting'!B8</f>
        <v>1146.2940000000001</v>
      </c>
      <c r="C6" s="445"/>
      <c r="D6" s="445"/>
      <c r="E6" s="445"/>
      <c r="F6" s="445"/>
      <c r="G6" s="445"/>
      <c r="H6" s="445"/>
      <c r="I6" s="445"/>
      <c r="J6" s="445"/>
      <c r="K6" s="445"/>
      <c r="L6" s="445"/>
      <c r="M6" s="445"/>
      <c r="N6" s="445"/>
      <c r="O6" s="445"/>
      <c r="P6" s="446"/>
      <c r="Q6" s="444">
        <f t="shared" si="0"/>
        <v>1146.2940000000001</v>
      </c>
    </row>
    <row r="7" spans="1:17">
      <c r="A7" s="444" t="s">
        <v>111</v>
      </c>
      <c r="B7" s="445">
        <f>landbouw!B8</f>
        <v>2145.3118775164421</v>
      </c>
      <c r="C7" s="445">
        <f>landbouw!C8</f>
        <v>3573</v>
      </c>
      <c r="D7" s="445">
        <f>landbouw!D8</f>
        <v>0</v>
      </c>
      <c r="E7" s="445">
        <f>landbouw!E8</f>
        <v>63.057268618986015</v>
      </c>
      <c r="F7" s="445">
        <f>landbouw!F8</f>
        <v>7452.2533551643537</v>
      </c>
      <c r="G7" s="445">
        <f>landbouw!G8</f>
        <v>0</v>
      </c>
      <c r="H7" s="445">
        <f>landbouw!H8</f>
        <v>0</v>
      </c>
      <c r="I7" s="445">
        <f>landbouw!I8</f>
        <v>0</v>
      </c>
      <c r="J7" s="445">
        <f>landbouw!J8</f>
        <v>310.80961995219218</v>
      </c>
      <c r="K7" s="445">
        <f>landbouw!K8</f>
        <v>0</v>
      </c>
      <c r="L7" s="445">
        <f>landbouw!L8</f>
        <v>0</v>
      </c>
      <c r="M7" s="445">
        <f>landbouw!M8</f>
        <v>0</v>
      </c>
      <c r="N7" s="445">
        <f>landbouw!N8</f>
        <v>0</v>
      </c>
      <c r="O7" s="445">
        <f>landbouw!O8</f>
        <v>0</v>
      </c>
      <c r="P7" s="446">
        <f>landbouw!P8</f>
        <v>0</v>
      </c>
      <c r="Q7" s="444">
        <f t="shared" si="0"/>
        <v>13544.432121251974</v>
      </c>
    </row>
    <row r="8" spans="1:17">
      <c r="A8" s="444" t="s">
        <v>627</v>
      </c>
      <c r="B8" s="445">
        <f>industrie!B18</f>
        <v>6881.0790063842342</v>
      </c>
      <c r="C8" s="445">
        <f>industrie!C18</f>
        <v>0</v>
      </c>
      <c r="D8" s="445">
        <f>industrie!D18</f>
        <v>7452.3604764610973</v>
      </c>
      <c r="E8" s="445">
        <f>industrie!E18</f>
        <v>601.29269543274188</v>
      </c>
      <c r="F8" s="445">
        <f>industrie!F18</f>
        <v>1933.3681841082935</v>
      </c>
      <c r="G8" s="445">
        <f>industrie!G18</f>
        <v>0</v>
      </c>
      <c r="H8" s="445">
        <f>industrie!H18</f>
        <v>0</v>
      </c>
      <c r="I8" s="445">
        <f>industrie!I18</f>
        <v>0</v>
      </c>
      <c r="J8" s="445">
        <f>industrie!J18</f>
        <v>16.459636401009593</v>
      </c>
      <c r="K8" s="445">
        <f>industrie!K18</f>
        <v>0</v>
      </c>
      <c r="L8" s="445">
        <f>industrie!L18</f>
        <v>0</v>
      </c>
      <c r="M8" s="445">
        <f>industrie!M18</f>
        <v>0</v>
      </c>
      <c r="N8" s="445">
        <f>industrie!N18</f>
        <v>477.49235246111061</v>
      </c>
      <c r="O8" s="445">
        <f>industrie!O18</f>
        <v>0</v>
      </c>
      <c r="P8" s="446">
        <f>industrie!P18</f>
        <v>0</v>
      </c>
      <c r="Q8" s="444">
        <f t="shared" si="0"/>
        <v>17362.052351248487</v>
      </c>
    </row>
    <row r="9" spans="1:17" s="450" customFormat="1">
      <c r="A9" s="448" t="s">
        <v>553</v>
      </c>
      <c r="B9" s="449">
        <f>transport!B14</f>
        <v>81.115187993419383</v>
      </c>
      <c r="C9" s="449">
        <f>transport!C14</f>
        <v>0</v>
      </c>
      <c r="D9" s="449">
        <f>transport!D14</f>
        <v>122.0354206188678</v>
      </c>
      <c r="E9" s="449">
        <f>transport!E14</f>
        <v>239.64239835376003</v>
      </c>
      <c r="F9" s="449">
        <f>transport!F14</f>
        <v>0</v>
      </c>
      <c r="G9" s="449">
        <f>transport!G14</f>
        <v>135265.52854794776</v>
      </c>
      <c r="H9" s="449">
        <f>transport!H14</f>
        <v>20123.061668057093</v>
      </c>
      <c r="I9" s="449">
        <f>transport!I14</f>
        <v>0</v>
      </c>
      <c r="J9" s="449">
        <f>transport!J14</f>
        <v>0</v>
      </c>
      <c r="K9" s="449">
        <f>transport!K14</f>
        <v>0</v>
      </c>
      <c r="L9" s="449">
        <f>transport!L14</f>
        <v>0</v>
      </c>
      <c r="M9" s="449">
        <f>transport!M14</f>
        <v>8495.3611306299808</v>
      </c>
      <c r="N9" s="449">
        <f>transport!N14</f>
        <v>0</v>
      </c>
      <c r="O9" s="449">
        <f>transport!O14</f>
        <v>0</v>
      </c>
      <c r="P9" s="449">
        <f>transport!P14</f>
        <v>0</v>
      </c>
      <c r="Q9" s="448">
        <f>SUM(B9:P9)</f>
        <v>164326.74435360086</v>
      </c>
    </row>
    <row r="10" spans="1:17">
      <c r="A10" s="444" t="s">
        <v>543</v>
      </c>
      <c r="B10" s="445">
        <f>transport!B54</f>
        <v>14.419730408056065</v>
      </c>
      <c r="C10" s="445">
        <f>transport!C54</f>
        <v>0</v>
      </c>
      <c r="D10" s="445">
        <f>transport!D54</f>
        <v>0</v>
      </c>
      <c r="E10" s="445">
        <f>transport!E54</f>
        <v>0</v>
      </c>
      <c r="F10" s="445">
        <f>transport!F54</f>
        <v>0</v>
      </c>
      <c r="G10" s="445">
        <f>transport!G54</f>
        <v>1354.5905430901703</v>
      </c>
      <c r="H10" s="445">
        <f>transport!H54</f>
        <v>0</v>
      </c>
      <c r="I10" s="445">
        <f>transport!I54</f>
        <v>0</v>
      </c>
      <c r="J10" s="445">
        <f>transport!J54</f>
        <v>0</v>
      </c>
      <c r="K10" s="445">
        <f>transport!K54</f>
        <v>0</v>
      </c>
      <c r="L10" s="445">
        <f>transport!L54</f>
        <v>0</v>
      </c>
      <c r="M10" s="445">
        <f>transport!M54</f>
        <v>78.006802196748652</v>
      </c>
      <c r="N10" s="445">
        <f>transport!N54</f>
        <v>0</v>
      </c>
      <c r="O10" s="445">
        <f>transport!O54</f>
        <v>0</v>
      </c>
      <c r="P10" s="446">
        <f>transport!P54</f>
        <v>0</v>
      </c>
      <c r="Q10" s="444">
        <f t="shared" si="0"/>
        <v>1447.0170756949749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1582.1767014556899</v>
      </c>
      <c r="C14" s="452"/>
      <c r="D14" s="452">
        <f>'SEAP template'!E25</f>
        <v>2168.1548954820696</v>
      </c>
      <c r="E14" s="452"/>
      <c r="F14" s="452"/>
      <c r="G14" s="452"/>
      <c r="H14" s="452"/>
      <c r="I14" s="452"/>
      <c r="J14" s="452"/>
      <c r="K14" s="452"/>
      <c r="L14" s="452"/>
      <c r="M14" s="452"/>
      <c r="N14" s="452"/>
      <c r="O14" s="452"/>
      <c r="P14" s="453"/>
      <c r="Q14" s="444">
        <f t="shared" si="0"/>
        <v>3750.3315969377595</v>
      </c>
    </row>
    <row r="15" spans="1:17" s="454" customFormat="1">
      <c r="A15" s="999" t="s">
        <v>547</v>
      </c>
      <c r="B15" s="947">
        <f ca="1">SUM(B4:B14)</f>
        <v>54815.451224591976</v>
      </c>
      <c r="C15" s="947">
        <f t="shared" ref="C15:Q15" ca="1" si="1">SUM(C4:C14)</f>
        <v>3573</v>
      </c>
      <c r="D15" s="947">
        <f t="shared" ca="1" si="1"/>
        <v>103244.18959055652</v>
      </c>
      <c r="E15" s="947">
        <f t="shared" si="1"/>
        <v>2063.2613407162153</v>
      </c>
      <c r="F15" s="947">
        <f t="shared" ca="1" si="1"/>
        <v>35081.586738705802</v>
      </c>
      <c r="G15" s="947">
        <f t="shared" si="1"/>
        <v>136620.11909103792</v>
      </c>
      <c r="H15" s="947">
        <f t="shared" si="1"/>
        <v>20123.061668057093</v>
      </c>
      <c r="I15" s="947">
        <f t="shared" si="1"/>
        <v>0</v>
      </c>
      <c r="J15" s="947">
        <f t="shared" si="1"/>
        <v>439.39333875401167</v>
      </c>
      <c r="K15" s="947">
        <f t="shared" si="1"/>
        <v>0</v>
      </c>
      <c r="L15" s="947">
        <f t="shared" ca="1" si="1"/>
        <v>0</v>
      </c>
      <c r="M15" s="947">
        <f t="shared" si="1"/>
        <v>8573.3679328267299</v>
      </c>
      <c r="N15" s="947">
        <f t="shared" ca="1" si="1"/>
        <v>11290.614225399</v>
      </c>
      <c r="O15" s="947">
        <f t="shared" si="1"/>
        <v>287.65333333333331</v>
      </c>
      <c r="P15" s="947">
        <f t="shared" si="1"/>
        <v>629.20000000000005</v>
      </c>
      <c r="Q15" s="947">
        <f t="shared" ca="1" si="1"/>
        <v>376740.89848397864</v>
      </c>
    </row>
    <row r="17" spans="1:17">
      <c r="A17" s="455" t="s">
        <v>548</v>
      </c>
      <c r="B17" s="754">
        <f ca="1">huishoudens!B10</f>
        <v>0.13731034123242966</v>
      </c>
      <c r="C17" s="754">
        <f ca="1">huishoudens!C10</f>
        <v>0.11553351573187415</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4070.3253531810642</v>
      </c>
      <c r="C22" s="445">
        <f t="shared" ref="C22:C32" ca="1" si="3">C4*$C$17</f>
        <v>0</v>
      </c>
      <c r="D22" s="445">
        <f t="shared" ref="D22:D32" si="4">D4*$D$17</f>
        <v>15529.097101111285</v>
      </c>
      <c r="E22" s="445">
        <f t="shared" ref="E22:E32" si="5">E4*$E$17</f>
        <v>208.70709190763949</v>
      </c>
      <c r="F22" s="445">
        <f t="shared" ref="F22:F32" si="6">F4*$F$17</f>
        <v>6219.455862729038</v>
      </c>
      <c r="G22" s="445">
        <f t="shared" ref="G22:G32" si="7">G4*$G$17</f>
        <v>0</v>
      </c>
      <c r="H22" s="445">
        <f t="shared" ref="H22:H32" si="8">H4*$H$17</f>
        <v>0</v>
      </c>
      <c r="I22" s="445">
        <f t="shared" ref="I22:I32" si="9">I4*$I$17</f>
        <v>0</v>
      </c>
      <c r="J22" s="445">
        <f t="shared" ref="J22:J32" si="10">J4*$J$17</f>
        <v>39.67892374718992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26067.264332676215</v>
      </c>
    </row>
    <row r="23" spans="1:17">
      <c r="A23" s="444" t="s">
        <v>155</v>
      </c>
      <c r="B23" s="445">
        <f t="shared" ca="1" si="2"/>
        <v>1829.2209716066839</v>
      </c>
      <c r="C23" s="445">
        <f t="shared" ca="1" si="3"/>
        <v>0</v>
      </c>
      <c r="D23" s="445">
        <f t="shared" ca="1" si="4"/>
        <v>3358.2339360836017</v>
      </c>
      <c r="E23" s="445">
        <f t="shared" si="5"/>
        <v>54.446966168895642</v>
      </c>
      <c r="F23" s="445">
        <f t="shared" ca="1" si="6"/>
        <v>641.36684551961514</v>
      </c>
      <c r="G23" s="445">
        <f t="shared" si="7"/>
        <v>0</v>
      </c>
      <c r="H23" s="445">
        <f t="shared" si="8"/>
        <v>0</v>
      </c>
      <c r="I23" s="445">
        <f t="shared" si="9"/>
        <v>0</v>
      </c>
      <c r="J23" s="445">
        <f t="shared" si="10"/>
        <v>1.3001422696781924E-2</v>
      </c>
      <c r="K23" s="445">
        <f t="shared" si="11"/>
        <v>0</v>
      </c>
      <c r="L23" s="445">
        <f t="shared" ca="1" si="12"/>
        <v>0</v>
      </c>
      <c r="M23" s="445">
        <f t="shared" si="13"/>
        <v>0</v>
      </c>
      <c r="N23" s="445">
        <f t="shared" ca="1" si="14"/>
        <v>0</v>
      </c>
      <c r="O23" s="445">
        <f t="shared" si="15"/>
        <v>0</v>
      </c>
      <c r="P23" s="446">
        <f t="shared" si="16"/>
        <v>0</v>
      </c>
      <c r="Q23" s="444">
        <f t="shared" ref="Q23:Q32" ca="1" si="17">SUM(B23:P23)</f>
        <v>5883.2817208014931</v>
      </c>
    </row>
    <row r="24" spans="1:17">
      <c r="A24" s="444" t="s">
        <v>193</v>
      </c>
      <c r="B24" s="445">
        <f t="shared" ca="1" si="2"/>
        <v>157.39802029268674</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157.39802029268674</v>
      </c>
    </row>
    <row r="25" spans="1:17">
      <c r="A25" s="444" t="s">
        <v>111</v>
      </c>
      <c r="B25" s="445">
        <f t="shared" ca="1" si="2"/>
        <v>294.573505951767</v>
      </c>
      <c r="C25" s="445">
        <f t="shared" ca="1" si="3"/>
        <v>412.80125170998633</v>
      </c>
      <c r="D25" s="445">
        <f t="shared" si="4"/>
        <v>0</v>
      </c>
      <c r="E25" s="445">
        <f t="shared" si="5"/>
        <v>14.313999976509827</v>
      </c>
      <c r="F25" s="445">
        <f t="shared" si="6"/>
        <v>1989.7516458288826</v>
      </c>
      <c r="G25" s="445">
        <f t="shared" si="7"/>
        <v>0</v>
      </c>
      <c r="H25" s="445">
        <f t="shared" si="8"/>
        <v>0</v>
      </c>
      <c r="I25" s="445">
        <f t="shared" si="9"/>
        <v>0</v>
      </c>
      <c r="J25" s="445">
        <f t="shared" si="10"/>
        <v>110.02660546307602</v>
      </c>
      <c r="K25" s="445">
        <f t="shared" si="11"/>
        <v>0</v>
      </c>
      <c r="L25" s="445">
        <f t="shared" si="12"/>
        <v>0</v>
      </c>
      <c r="M25" s="445">
        <f t="shared" si="13"/>
        <v>0</v>
      </c>
      <c r="N25" s="445">
        <f t="shared" si="14"/>
        <v>0</v>
      </c>
      <c r="O25" s="445">
        <f t="shared" si="15"/>
        <v>0</v>
      </c>
      <c r="P25" s="446">
        <f t="shared" si="16"/>
        <v>0</v>
      </c>
      <c r="Q25" s="444">
        <f t="shared" ca="1" si="17"/>
        <v>2821.4670089302222</v>
      </c>
    </row>
    <row r="26" spans="1:17">
      <c r="A26" s="444" t="s">
        <v>627</v>
      </c>
      <c r="B26" s="445">
        <f t="shared" ca="1" si="2"/>
        <v>944.84330641392728</v>
      </c>
      <c r="C26" s="445">
        <f t="shared" ca="1" si="3"/>
        <v>0</v>
      </c>
      <c r="D26" s="445">
        <f t="shared" si="4"/>
        <v>1505.3768162451418</v>
      </c>
      <c r="E26" s="445">
        <f t="shared" si="5"/>
        <v>136.49344186323242</v>
      </c>
      <c r="F26" s="445">
        <f t="shared" si="6"/>
        <v>516.20930515691441</v>
      </c>
      <c r="G26" s="445">
        <f t="shared" si="7"/>
        <v>0</v>
      </c>
      <c r="H26" s="445">
        <f t="shared" si="8"/>
        <v>0</v>
      </c>
      <c r="I26" s="445">
        <f t="shared" si="9"/>
        <v>0</v>
      </c>
      <c r="J26" s="445">
        <f t="shared" si="10"/>
        <v>5.826711285957396</v>
      </c>
      <c r="K26" s="445">
        <f t="shared" si="11"/>
        <v>0</v>
      </c>
      <c r="L26" s="445">
        <f t="shared" si="12"/>
        <v>0</v>
      </c>
      <c r="M26" s="445">
        <f t="shared" si="13"/>
        <v>0</v>
      </c>
      <c r="N26" s="445">
        <f t="shared" si="14"/>
        <v>0</v>
      </c>
      <c r="O26" s="445">
        <f t="shared" si="15"/>
        <v>0</v>
      </c>
      <c r="P26" s="446">
        <f t="shared" si="16"/>
        <v>0</v>
      </c>
      <c r="Q26" s="444">
        <f t="shared" ca="1" si="17"/>
        <v>3108.7495809651737</v>
      </c>
    </row>
    <row r="27" spans="1:17" s="450" customFormat="1">
      <c r="A27" s="448" t="s">
        <v>553</v>
      </c>
      <c r="B27" s="748">
        <f t="shared" ca="1" si="2"/>
        <v>11.137954142509097</v>
      </c>
      <c r="C27" s="449">
        <f t="shared" ca="1" si="3"/>
        <v>0</v>
      </c>
      <c r="D27" s="449">
        <f t="shared" si="4"/>
        <v>24.651154965011298</v>
      </c>
      <c r="E27" s="449">
        <f t="shared" si="5"/>
        <v>54.398824426303527</v>
      </c>
      <c r="F27" s="449">
        <f t="shared" si="6"/>
        <v>0</v>
      </c>
      <c r="G27" s="449">
        <f t="shared" si="7"/>
        <v>36115.896122302052</v>
      </c>
      <c r="H27" s="449">
        <f t="shared" si="8"/>
        <v>5010.6423553462164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41216.726411182091</v>
      </c>
    </row>
    <row r="28" spans="1:17">
      <c r="A28" s="444" t="s">
        <v>543</v>
      </c>
      <c r="B28" s="445">
        <f t="shared" ca="1" si="2"/>
        <v>1.9799781028098205</v>
      </c>
      <c r="C28" s="445">
        <f t="shared" ca="1" si="3"/>
        <v>0</v>
      </c>
      <c r="D28" s="445">
        <f t="shared" si="4"/>
        <v>0</v>
      </c>
      <c r="E28" s="445">
        <f t="shared" si="5"/>
        <v>0</v>
      </c>
      <c r="F28" s="445">
        <f t="shared" si="6"/>
        <v>0</v>
      </c>
      <c r="G28" s="445">
        <f t="shared" si="7"/>
        <v>361.6756750050755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363.65565310788531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217.24922276688076</v>
      </c>
      <c r="C32" s="445">
        <f t="shared" ca="1" si="3"/>
        <v>0</v>
      </c>
      <c r="D32" s="445">
        <f t="shared" si="4"/>
        <v>437.96728888737806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655.21651165425885</v>
      </c>
    </row>
    <row r="33" spans="1:17" s="454" customFormat="1">
      <c r="A33" s="999" t="s">
        <v>547</v>
      </c>
      <c r="B33" s="947">
        <f ca="1">SUM(B22:B32)</f>
        <v>7526.7283124583291</v>
      </c>
      <c r="C33" s="947">
        <f t="shared" ref="C33:Q33" ca="1" si="18">SUM(C22:C32)</f>
        <v>412.80125170998633</v>
      </c>
      <c r="D33" s="947">
        <f t="shared" ca="1" si="18"/>
        <v>20855.326297292417</v>
      </c>
      <c r="E33" s="947">
        <f t="shared" si="18"/>
        <v>468.3603243425809</v>
      </c>
      <c r="F33" s="947">
        <f t="shared" ca="1" si="18"/>
        <v>9366.7836592344484</v>
      </c>
      <c r="G33" s="947">
        <f t="shared" si="18"/>
        <v>36477.57179730713</v>
      </c>
      <c r="H33" s="947">
        <f t="shared" si="18"/>
        <v>5010.6423553462164</v>
      </c>
      <c r="I33" s="947">
        <f t="shared" si="18"/>
        <v>0</v>
      </c>
      <c r="J33" s="947">
        <f t="shared" si="18"/>
        <v>155.54524191892011</v>
      </c>
      <c r="K33" s="947">
        <f t="shared" si="18"/>
        <v>0</v>
      </c>
      <c r="L33" s="947">
        <f t="shared" ca="1" si="18"/>
        <v>0</v>
      </c>
      <c r="M33" s="947">
        <f t="shared" si="18"/>
        <v>0</v>
      </c>
      <c r="N33" s="947">
        <f t="shared" ca="1" si="18"/>
        <v>0</v>
      </c>
      <c r="O33" s="947">
        <f t="shared" si="18"/>
        <v>0</v>
      </c>
      <c r="P33" s="947">
        <f t="shared" si="18"/>
        <v>0</v>
      </c>
      <c r="Q33" s="947">
        <f t="shared" ca="1" si="18"/>
        <v>80273.759239610023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14296.319439613448</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5027.0025353481487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1730.1976744186045</v>
      </c>
      <c r="C8" s="1016">
        <f>'SEAP template'!C76</f>
        <v>1275.8023255813955</v>
      </c>
      <c r="D8" s="1016">
        <f>'SEAP template'!D76</f>
        <v>822.43502051983614</v>
      </c>
      <c r="E8" s="1016">
        <f>'SEAP template'!E76</f>
        <v>0</v>
      </c>
      <c r="F8" s="1016">
        <f>'SEAP template'!F76</f>
        <v>678.50889192886461</v>
      </c>
      <c r="G8" s="1016">
        <f>'SEAP template'!G76</f>
        <v>0</v>
      </c>
      <c r="H8" s="1016">
        <f>'SEAP template'!H76</f>
        <v>0</v>
      </c>
      <c r="I8" s="1016">
        <f>'SEAP template'!I76</f>
        <v>2035.5266757865938</v>
      </c>
      <c r="J8" s="1016">
        <f>'SEAP template'!J76</f>
        <v>0</v>
      </c>
      <c r="K8" s="1016">
        <f>'SEAP template'!K76</f>
        <v>0</v>
      </c>
      <c r="L8" s="1016">
        <f>'SEAP template'!L76</f>
        <v>0</v>
      </c>
      <c r="M8" s="1016">
        <f>'SEAP template'!M76</f>
        <v>0</v>
      </c>
      <c r="N8" s="1016">
        <f>'SEAP template'!N76</f>
        <v>0</v>
      </c>
      <c r="O8" s="1016">
        <f>'SEAP template'!O76</f>
        <v>0</v>
      </c>
      <c r="P8" s="1017">
        <f>'SEAP template'!Q76</f>
        <v>347.29374829001381</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21053.5196493802</v>
      </c>
      <c r="C10" s="1020">
        <f>SUM(C4:C9)</f>
        <v>1275.8023255813955</v>
      </c>
      <c r="D10" s="1020">
        <f t="shared" ref="D10:H10" si="0">SUM(D8:D9)</f>
        <v>822.43502051983614</v>
      </c>
      <c r="E10" s="1020">
        <f t="shared" si="0"/>
        <v>0</v>
      </c>
      <c r="F10" s="1020">
        <f t="shared" si="0"/>
        <v>678.50889192886461</v>
      </c>
      <c r="G10" s="1020">
        <f t="shared" si="0"/>
        <v>0</v>
      </c>
      <c r="H10" s="1020">
        <f t="shared" si="0"/>
        <v>0</v>
      </c>
      <c r="I10" s="1020">
        <f>SUM(I8:I9)</f>
        <v>2035.5266757865938</v>
      </c>
      <c r="J10" s="1020">
        <f>SUM(J8:J9)</f>
        <v>0</v>
      </c>
      <c r="K10" s="1020">
        <f t="shared" ref="K10:L10" si="1">SUM(K8:K9)</f>
        <v>0</v>
      </c>
      <c r="L10" s="1020">
        <f t="shared" si="1"/>
        <v>0</v>
      </c>
      <c r="M10" s="1020">
        <f>SUM(M8:M9)</f>
        <v>0</v>
      </c>
      <c r="N10" s="1020">
        <f>SUM(N8:N9)</f>
        <v>0</v>
      </c>
      <c r="O10" s="1020">
        <f>SUM(O8:O9)</f>
        <v>0</v>
      </c>
      <c r="P10" s="1020">
        <f>SUM(P8:P9)</f>
        <v>347.29374829001381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0.13731034123242966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2056.5523255813951</v>
      </c>
      <c r="C17" s="1022">
        <f>'SEAP template'!C87</f>
        <v>1516.4476744186045</v>
      </c>
      <c r="D17" s="1017">
        <f>'SEAP template'!D87</f>
        <v>977.56497948016431</v>
      </c>
      <c r="E17" s="1017">
        <f>'SEAP template'!E87</f>
        <v>0</v>
      </c>
      <c r="F17" s="1017">
        <f>'SEAP template'!F87</f>
        <v>806.49110807113539</v>
      </c>
      <c r="G17" s="1017">
        <f>'SEAP template'!G87</f>
        <v>0</v>
      </c>
      <c r="H17" s="1017">
        <f>'SEAP template'!H87</f>
        <v>0</v>
      </c>
      <c r="I17" s="1017">
        <f>'SEAP template'!I87</f>
        <v>2419.4733242134062</v>
      </c>
      <c r="J17" s="1017">
        <f>'SEAP template'!J87</f>
        <v>0</v>
      </c>
      <c r="K17" s="1017">
        <f>'SEAP template'!K87</f>
        <v>0</v>
      </c>
      <c r="L17" s="1017">
        <f>'SEAP template'!L87</f>
        <v>0</v>
      </c>
      <c r="M17" s="1017">
        <f>'SEAP template'!M87</f>
        <v>0</v>
      </c>
      <c r="N17" s="1017">
        <f>'SEAP template'!N87</f>
        <v>0</v>
      </c>
      <c r="O17" s="1017">
        <f>'SEAP template'!O87</f>
        <v>0</v>
      </c>
      <c r="P17" s="1017">
        <f>'SEAP template'!Q87</f>
        <v>412.80125170998633</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2056.5523255813951</v>
      </c>
      <c r="C20" s="1020">
        <f>SUM(C17:C19)</f>
        <v>1516.4476744186045</v>
      </c>
      <c r="D20" s="1020">
        <f t="shared" ref="D20:H20" si="2">SUM(D17:D19)</f>
        <v>977.56497948016431</v>
      </c>
      <c r="E20" s="1020">
        <f t="shared" si="2"/>
        <v>0</v>
      </c>
      <c r="F20" s="1020">
        <f t="shared" si="2"/>
        <v>806.49110807113539</v>
      </c>
      <c r="G20" s="1020">
        <f t="shared" si="2"/>
        <v>0</v>
      </c>
      <c r="H20" s="1020">
        <f t="shared" si="2"/>
        <v>0</v>
      </c>
      <c r="I20" s="1020">
        <f>SUM(I17:I19)</f>
        <v>2419.4733242134062</v>
      </c>
      <c r="J20" s="1020">
        <f>SUM(J17:J19)</f>
        <v>0</v>
      </c>
      <c r="K20" s="1020">
        <f t="shared" ref="K20:L20" si="3">SUM(K17:K19)</f>
        <v>0</v>
      </c>
      <c r="L20" s="1020">
        <f t="shared" si="3"/>
        <v>0</v>
      </c>
      <c r="M20" s="1020">
        <f>SUM(M17:M19)</f>
        <v>0</v>
      </c>
      <c r="N20" s="1020">
        <f>SUM(N17:N19)</f>
        <v>0</v>
      </c>
      <c r="O20" s="1020">
        <f>SUM(O17:O19)</f>
        <v>0</v>
      </c>
      <c r="P20" s="1020">
        <f>SUM(P17:P19)</f>
        <v>412.80125170998633</v>
      </c>
    </row>
    <row r="22" spans="1:16">
      <c r="A22" s="455" t="s">
        <v>833</v>
      </c>
      <c r="B22" s="754" t="s">
        <v>827</v>
      </c>
      <c r="C22" s="754">
        <f ca="1">'EF ele_warmte'!B22</f>
        <v>0.11553351573187415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0.13731034123242966</v>
      </c>
      <c r="C17" s="492">
        <f ca="1">'EF ele_warmte'!B22</f>
        <v>0.11553351573187415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0.13731034123242966</v>
      </c>
      <c r="C17" s="492">
        <f ca="1">'EF ele_warmte'!B22</f>
        <v>0.11553351573187415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0.13731034123242966</v>
      </c>
      <c r="C29" s="493">
        <f ca="1">'EF ele_warmte'!B22</f>
        <v>0.11553351573187415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6737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1684.68</v>
      </c>
      <c r="C14" s="324"/>
      <c r="D14" s="324"/>
      <c r="E14" s="324"/>
      <c r="F14" s="324"/>
    </row>
    <row r="15" spans="1:6">
      <c r="A15" s="1291" t="s">
        <v>183</v>
      </c>
      <c r="B15" s="1292">
        <v>29</v>
      </c>
      <c r="C15" s="324"/>
      <c r="D15" s="324"/>
      <c r="E15" s="324"/>
      <c r="F15" s="324"/>
    </row>
    <row r="16" spans="1:6">
      <c r="A16" s="1291" t="s">
        <v>6</v>
      </c>
      <c r="B16" s="1292">
        <v>1221</v>
      </c>
      <c r="C16" s="324"/>
      <c r="D16" s="324"/>
      <c r="E16" s="324"/>
      <c r="F16" s="324"/>
    </row>
    <row r="17" spans="1:6">
      <c r="A17" s="1291" t="s">
        <v>7</v>
      </c>
      <c r="B17" s="1292">
        <v>447</v>
      </c>
      <c r="C17" s="324"/>
      <c r="D17" s="324"/>
      <c r="E17" s="324"/>
      <c r="F17" s="324"/>
    </row>
    <row r="18" spans="1:6">
      <c r="A18" s="1291" t="s">
        <v>8</v>
      </c>
      <c r="B18" s="1292">
        <v>938</v>
      </c>
      <c r="C18" s="324"/>
      <c r="D18" s="324"/>
      <c r="E18" s="324"/>
      <c r="F18" s="324"/>
    </row>
    <row r="19" spans="1:6">
      <c r="A19" s="1291" t="s">
        <v>9</v>
      </c>
      <c r="B19" s="1292">
        <v>798</v>
      </c>
      <c r="C19" s="324"/>
      <c r="D19" s="324"/>
      <c r="E19" s="324"/>
      <c r="F19" s="324"/>
    </row>
    <row r="20" spans="1:6">
      <c r="A20" s="1291" t="s">
        <v>10</v>
      </c>
      <c r="B20" s="1292">
        <v>520</v>
      </c>
      <c r="C20" s="324"/>
      <c r="D20" s="324"/>
      <c r="E20" s="324"/>
      <c r="F20" s="324"/>
    </row>
    <row r="21" spans="1:6">
      <c r="A21" s="1291" t="s">
        <v>11</v>
      </c>
      <c r="B21" s="1292">
        <v>5923</v>
      </c>
      <c r="C21" s="324"/>
      <c r="D21" s="324"/>
      <c r="E21" s="324"/>
      <c r="F21" s="324"/>
    </row>
    <row r="22" spans="1:6">
      <c r="A22" s="1291" t="s">
        <v>12</v>
      </c>
      <c r="B22" s="1292">
        <v>22294</v>
      </c>
      <c r="C22" s="324"/>
      <c r="D22" s="324"/>
      <c r="E22" s="324"/>
      <c r="F22" s="324"/>
    </row>
    <row r="23" spans="1:6">
      <c r="A23" s="1291" t="s">
        <v>13</v>
      </c>
      <c r="B23" s="1292">
        <v>380</v>
      </c>
      <c r="C23" s="324"/>
      <c r="D23" s="324"/>
      <c r="E23" s="324"/>
      <c r="F23" s="324"/>
    </row>
    <row r="24" spans="1:6">
      <c r="A24" s="1291" t="s">
        <v>14</v>
      </c>
      <c r="B24" s="1292">
        <v>29</v>
      </c>
      <c r="C24" s="324"/>
      <c r="D24" s="324"/>
      <c r="E24" s="324"/>
      <c r="F24" s="324"/>
    </row>
    <row r="25" spans="1:6">
      <c r="A25" s="1291" t="s">
        <v>15</v>
      </c>
      <c r="B25" s="1292">
        <v>1429</v>
      </c>
      <c r="C25" s="324"/>
      <c r="D25" s="324"/>
      <c r="E25" s="324"/>
      <c r="F25" s="324"/>
    </row>
    <row r="26" spans="1:6">
      <c r="A26" s="1291" t="s">
        <v>16</v>
      </c>
      <c r="B26" s="1292">
        <v>68</v>
      </c>
      <c r="C26" s="324"/>
      <c r="D26" s="324"/>
      <c r="E26" s="324"/>
      <c r="F26" s="324"/>
    </row>
    <row r="27" spans="1:6">
      <c r="A27" s="1291" t="s">
        <v>17</v>
      </c>
      <c r="B27" s="1292">
        <v>255</v>
      </c>
      <c r="C27" s="324"/>
      <c r="D27" s="324"/>
      <c r="E27" s="324"/>
      <c r="F27" s="324"/>
    </row>
    <row r="28" spans="1:6" s="43" customFormat="1">
      <c r="A28" s="1293" t="s">
        <v>18</v>
      </c>
      <c r="B28" s="1294">
        <v>2985</v>
      </c>
      <c r="C28" s="330"/>
      <c r="D28" s="330"/>
      <c r="E28" s="330"/>
      <c r="F28" s="330"/>
    </row>
    <row r="29" spans="1:6">
      <c r="A29" s="1293" t="s">
        <v>722</v>
      </c>
      <c r="B29" s="1294">
        <v>76</v>
      </c>
      <c r="C29" s="330"/>
      <c r="D29" s="330"/>
      <c r="E29" s="330"/>
      <c r="F29" s="330"/>
    </row>
    <row r="30" spans="1:6">
      <c r="A30" s="1286" t="s">
        <v>723</v>
      </c>
      <c r="B30" s="1295">
        <v>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11077.880677695999</v>
      </c>
    </row>
    <row r="39" spans="1:6">
      <c r="A39" s="1291" t="s">
        <v>29</v>
      </c>
      <c r="B39" s="1291" t="s">
        <v>30</v>
      </c>
      <c r="C39" s="1292">
        <v>5392</v>
      </c>
      <c r="D39" s="1292">
        <v>85202348.413758203</v>
      </c>
      <c r="E39" s="1292">
        <v>6706</v>
      </c>
      <c r="F39" s="1292">
        <v>25971490.112783998</v>
      </c>
    </row>
    <row r="40" spans="1:6">
      <c r="A40" s="1291" t="s">
        <v>29</v>
      </c>
      <c r="B40" s="1291" t="s">
        <v>28</v>
      </c>
      <c r="C40" s="1292">
        <v>1</v>
      </c>
      <c r="D40" s="1292">
        <v>26829.3271875672</v>
      </c>
      <c r="E40" s="1292">
        <v>1</v>
      </c>
      <c r="F40" s="1292">
        <v>7129.060562832</v>
      </c>
    </row>
    <row r="41" spans="1:6">
      <c r="A41" s="1291" t="s">
        <v>31</v>
      </c>
      <c r="B41" s="1291" t="s">
        <v>32</v>
      </c>
      <c r="C41" s="1292">
        <v>51</v>
      </c>
      <c r="D41" s="1292">
        <v>1816453.42375628</v>
      </c>
      <c r="E41" s="1292">
        <v>89</v>
      </c>
      <c r="F41" s="1292">
        <v>1171164.60463279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18</v>
      </c>
      <c r="F44" s="1292">
        <v>393823.85211468698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55630.337091524198</v>
      </c>
      <c r="E47" s="1292">
        <v>3</v>
      </c>
      <c r="F47" s="1292">
        <v>22677.406240843098</v>
      </c>
    </row>
    <row r="48" spans="1:6">
      <c r="A48" s="1291" t="s">
        <v>31</v>
      </c>
      <c r="B48" s="1291" t="s">
        <v>28</v>
      </c>
      <c r="C48" s="1292">
        <v>34</v>
      </c>
      <c r="D48" s="1292">
        <v>4448695.8734331802</v>
      </c>
      <c r="E48" s="1292">
        <v>45</v>
      </c>
      <c r="F48" s="1292">
        <v>4596708.5297553996</v>
      </c>
    </row>
    <row r="49" spans="1:6">
      <c r="A49" s="1291" t="s">
        <v>31</v>
      </c>
      <c r="B49" s="1291" t="s">
        <v>39</v>
      </c>
      <c r="C49" s="1292">
        <v>0</v>
      </c>
      <c r="D49" s="1292">
        <v>0</v>
      </c>
      <c r="E49" s="1292">
        <v>0</v>
      </c>
      <c r="F49" s="1292">
        <v>0</v>
      </c>
    </row>
    <row r="50" spans="1:6">
      <c r="A50" s="1291" t="s">
        <v>31</v>
      </c>
      <c r="B50" s="1291" t="s">
        <v>40</v>
      </c>
      <c r="C50" s="1292">
        <v>11</v>
      </c>
      <c r="D50" s="1292">
        <v>1941260.8052546</v>
      </c>
      <c r="E50" s="1292">
        <v>13</v>
      </c>
      <c r="F50" s="1292">
        <v>696704.61364051502</v>
      </c>
    </row>
    <row r="51" spans="1:6">
      <c r="A51" s="1291" t="s">
        <v>41</v>
      </c>
      <c r="B51" s="1291" t="s">
        <v>42</v>
      </c>
      <c r="C51" s="1292">
        <v>20</v>
      </c>
      <c r="D51" s="1292">
        <v>417312.50690706499</v>
      </c>
      <c r="E51" s="1292">
        <v>93</v>
      </c>
      <c r="F51" s="1292">
        <v>2030181.8652132701</v>
      </c>
    </row>
    <row r="52" spans="1:6">
      <c r="A52" s="1291" t="s">
        <v>41</v>
      </c>
      <c r="B52" s="1291" t="s">
        <v>28</v>
      </c>
      <c r="C52" s="1292">
        <v>1</v>
      </c>
      <c r="D52" s="1292">
        <v>9720.4008785047008</v>
      </c>
      <c r="E52" s="1292">
        <v>6</v>
      </c>
      <c r="F52" s="1292">
        <v>115130.012303172</v>
      </c>
    </row>
    <row r="53" spans="1:6">
      <c r="A53" s="1291" t="s">
        <v>43</v>
      </c>
      <c r="B53" s="1291" t="s">
        <v>44</v>
      </c>
      <c r="C53" s="1292">
        <v>105</v>
      </c>
      <c r="D53" s="1292">
        <v>2168154.8954820698</v>
      </c>
      <c r="E53" s="1292">
        <v>218</v>
      </c>
      <c r="F53" s="1292">
        <v>1582176.70145569</v>
      </c>
    </row>
    <row r="54" spans="1:6">
      <c r="A54" s="1291" t="s">
        <v>45</v>
      </c>
      <c r="B54" s="1291" t="s">
        <v>46</v>
      </c>
      <c r="C54" s="1292">
        <v>0</v>
      </c>
      <c r="D54" s="1292">
        <v>0</v>
      </c>
      <c r="E54" s="1292">
        <v>1</v>
      </c>
      <c r="F54" s="1292">
        <v>1146294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33</v>
      </c>
      <c r="D57" s="1292">
        <v>1133169.4282922</v>
      </c>
      <c r="E57" s="1292">
        <v>62</v>
      </c>
      <c r="F57" s="1292">
        <v>1387999.03220676</v>
      </c>
    </row>
    <row r="58" spans="1:6">
      <c r="A58" s="1291" t="s">
        <v>48</v>
      </c>
      <c r="B58" s="1291" t="s">
        <v>50</v>
      </c>
      <c r="C58" s="1292">
        <v>18</v>
      </c>
      <c r="D58" s="1292">
        <v>423080.857668938</v>
      </c>
      <c r="E58" s="1292">
        <v>27</v>
      </c>
      <c r="F58" s="1292">
        <v>229203.793980027</v>
      </c>
    </row>
    <row r="59" spans="1:6">
      <c r="A59" s="1291" t="s">
        <v>48</v>
      </c>
      <c r="B59" s="1291" t="s">
        <v>51</v>
      </c>
      <c r="C59" s="1292">
        <v>72</v>
      </c>
      <c r="D59" s="1292">
        <v>2604589.5321611702</v>
      </c>
      <c r="E59" s="1292">
        <v>141</v>
      </c>
      <c r="F59" s="1292">
        <v>5055425.7775256298</v>
      </c>
    </row>
    <row r="60" spans="1:6">
      <c r="A60" s="1291" t="s">
        <v>48</v>
      </c>
      <c r="B60" s="1291" t="s">
        <v>52</v>
      </c>
      <c r="C60" s="1292">
        <v>44</v>
      </c>
      <c r="D60" s="1292">
        <v>2256465.79976728</v>
      </c>
      <c r="E60" s="1292">
        <v>56</v>
      </c>
      <c r="F60" s="1292">
        <v>1361119.6521594799</v>
      </c>
    </row>
    <row r="61" spans="1:6">
      <c r="A61" s="1291" t="s">
        <v>48</v>
      </c>
      <c r="B61" s="1291" t="s">
        <v>53</v>
      </c>
      <c r="C61" s="1292">
        <v>138</v>
      </c>
      <c r="D61" s="1292">
        <v>6756096.5575152002</v>
      </c>
      <c r="E61" s="1292">
        <v>243</v>
      </c>
      <c r="F61" s="1292">
        <v>2464889.7320867302</v>
      </c>
    </row>
    <row r="62" spans="1:6">
      <c r="A62" s="1291" t="s">
        <v>48</v>
      </c>
      <c r="B62" s="1291" t="s">
        <v>54</v>
      </c>
      <c r="C62" s="1292">
        <v>0</v>
      </c>
      <c r="D62" s="1292">
        <v>0</v>
      </c>
      <c r="E62" s="1292">
        <v>7</v>
      </c>
      <c r="F62" s="1292">
        <v>97952.593923131106</v>
      </c>
    </row>
    <row r="63" spans="1:6">
      <c r="A63" s="1291" t="s">
        <v>48</v>
      </c>
      <c r="B63" s="1291" t="s">
        <v>28</v>
      </c>
      <c r="C63" s="1292">
        <v>91</v>
      </c>
      <c r="D63" s="1292">
        <v>5257773.5182331204</v>
      </c>
      <c r="E63" s="1292">
        <v>100</v>
      </c>
      <c r="F63" s="1292">
        <v>2725209.9117191001</v>
      </c>
    </row>
    <row r="64" spans="1:6">
      <c r="A64" s="1291" t="s">
        <v>55</v>
      </c>
      <c r="B64" s="1291" t="s">
        <v>56</v>
      </c>
      <c r="C64" s="1292">
        <v>0</v>
      </c>
      <c r="D64" s="1292">
        <v>0</v>
      </c>
      <c r="E64" s="1292">
        <v>0</v>
      </c>
      <c r="F64" s="1292">
        <v>0</v>
      </c>
    </row>
    <row r="65" spans="1:6">
      <c r="A65" s="1291" t="s">
        <v>55</v>
      </c>
      <c r="B65" s="1291" t="s">
        <v>28</v>
      </c>
      <c r="C65" s="1292">
        <v>4</v>
      </c>
      <c r="D65" s="1292">
        <v>104183.603754258</v>
      </c>
      <c r="E65" s="1292">
        <v>3</v>
      </c>
      <c r="F65" s="1292">
        <v>27290.571361077498</v>
      </c>
    </row>
    <row r="66" spans="1:6">
      <c r="A66" s="1291" t="s">
        <v>55</v>
      </c>
      <c r="B66" s="1291" t="s">
        <v>57</v>
      </c>
      <c r="C66" s="1292">
        <v>0</v>
      </c>
      <c r="D66" s="1292">
        <v>0</v>
      </c>
      <c r="E66" s="1292">
        <v>8</v>
      </c>
      <c r="F66" s="1292">
        <v>275471.434226599</v>
      </c>
    </row>
    <row r="67" spans="1:6">
      <c r="A67" s="1293" t="s">
        <v>55</v>
      </c>
      <c r="B67" s="1293" t="s">
        <v>58</v>
      </c>
      <c r="C67" s="1292">
        <v>0</v>
      </c>
      <c r="D67" s="1292">
        <v>0</v>
      </c>
      <c r="E67" s="1292">
        <v>0</v>
      </c>
      <c r="F67" s="1292">
        <v>0</v>
      </c>
    </row>
    <row r="68" spans="1:6">
      <c r="A68" s="1286" t="s">
        <v>55</v>
      </c>
      <c r="B68" s="1286" t="s">
        <v>59</v>
      </c>
      <c r="C68" s="1295">
        <v>3</v>
      </c>
      <c r="D68" s="1295">
        <v>315927.11226830201</v>
      </c>
      <c r="E68" s="1295">
        <v>7</v>
      </c>
      <c r="F68" s="1295">
        <v>369489.66752158903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31085250</v>
      </c>
      <c r="E73" s="443"/>
      <c r="F73" s="324"/>
    </row>
    <row r="74" spans="1:6">
      <c r="A74" s="1291" t="s">
        <v>63</v>
      </c>
      <c r="B74" s="1291" t="s">
        <v>648</v>
      </c>
      <c r="C74" s="1305" t="s">
        <v>650</v>
      </c>
      <c r="D74" s="1306">
        <v>3363909.5</v>
      </c>
      <c r="E74" s="443"/>
      <c r="F74" s="324"/>
    </row>
    <row r="75" spans="1:6">
      <c r="A75" s="1291" t="s">
        <v>64</v>
      </c>
      <c r="B75" s="1291" t="s">
        <v>647</v>
      </c>
      <c r="C75" s="1305" t="s">
        <v>651</v>
      </c>
      <c r="D75" s="1306">
        <v>18837529</v>
      </c>
      <c r="E75" s="443"/>
      <c r="F75" s="324"/>
    </row>
    <row r="76" spans="1:6">
      <c r="A76" s="1291" t="s">
        <v>64</v>
      </c>
      <c r="B76" s="1291" t="s">
        <v>648</v>
      </c>
      <c r="C76" s="1305" t="s">
        <v>652</v>
      </c>
      <c r="D76" s="1306">
        <v>1671582.5</v>
      </c>
      <c r="E76" s="443"/>
      <c r="F76" s="324"/>
    </row>
    <row r="77" spans="1:6">
      <c r="A77" s="1291" t="s">
        <v>65</v>
      </c>
      <c r="B77" s="1291" t="s">
        <v>647</v>
      </c>
      <c r="C77" s="1305" t="s">
        <v>653</v>
      </c>
      <c r="D77" s="1306">
        <v>85811092</v>
      </c>
      <c r="E77" s="443"/>
      <c r="F77" s="324"/>
    </row>
    <row r="78" spans="1:6">
      <c r="A78" s="1286" t="s">
        <v>65</v>
      </c>
      <c r="B78" s="1286" t="s">
        <v>648</v>
      </c>
      <c r="C78" s="1286" t="s">
        <v>654</v>
      </c>
      <c r="D78" s="1307">
        <v>21926698</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393569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14296.319439613448</v>
      </c>
      <c r="C90" s="324"/>
      <c r="D90" s="324"/>
      <c r="E90" s="324"/>
      <c r="F90" s="324"/>
    </row>
    <row r="91" spans="1:6">
      <c r="A91" s="1291" t="s">
        <v>67</v>
      </c>
      <c r="B91" s="1292">
        <v>3664.6350538864472</v>
      </c>
      <c r="C91" s="324"/>
      <c r="D91" s="324"/>
      <c r="E91" s="324"/>
      <c r="F91" s="324"/>
    </row>
    <row r="92" spans="1:6">
      <c r="A92" s="1286" t="s">
        <v>68</v>
      </c>
      <c r="B92" s="1287">
        <v>1362.3674814617013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3655</v>
      </c>
      <c r="C97" s="324"/>
      <c r="D97" s="324"/>
      <c r="E97" s="324"/>
      <c r="F97" s="324"/>
    </row>
    <row r="98" spans="1:6">
      <c r="A98" s="1291" t="s">
        <v>71</v>
      </c>
      <c r="B98" s="1292">
        <v>0</v>
      </c>
      <c r="C98" s="324"/>
      <c r="D98" s="324"/>
      <c r="E98" s="324"/>
      <c r="F98" s="324"/>
    </row>
    <row r="99" spans="1:6">
      <c r="A99" s="1291" t="s">
        <v>72</v>
      </c>
      <c r="B99" s="1292">
        <v>30</v>
      </c>
      <c r="C99" s="324"/>
      <c r="D99" s="324"/>
      <c r="E99" s="324"/>
      <c r="F99" s="324"/>
    </row>
    <row r="100" spans="1:6">
      <c r="A100" s="1291" t="s">
        <v>73</v>
      </c>
      <c r="B100" s="1292">
        <v>641</v>
      </c>
      <c r="C100" s="324"/>
      <c r="D100" s="324"/>
      <c r="E100" s="324"/>
      <c r="F100" s="324"/>
    </row>
    <row r="101" spans="1:6">
      <c r="A101" s="1291" t="s">
        <v>74</v>
      </c>
      <c r="B101" s="1292">
        <v>139</v>
      </c>
      <c r="C101" s="324"/>
      <c r="D101" s="324"/>
      <c r="E101" s="324"/>
      <c r="F101" s="324"/>
    </row>
    <row r="102" spans="1:6">
      <c r="A102" s="1291" t="s">
        <v>75</v>
      </c>
      <c r="B102" s="1292">
        <v>145</v>
      </c>
      <c r="C102" s="324"/>
      <c r="D102" s="324"/>
      <c r="E102" s="324"/>
      <c r="F102" s="324"/>
    </row>
    <row r="103" spans="1:6">
      <c r="A103" s="1291" t="s">
        <v>76</v>
      </c>
      <c r="B103" s="1292">
        <v>202</v>
      </c>
      <c r="C103" s="324"/>
      <c r="D103" s="324"/>
      <c r="E103" s="324"/>
      <c r="F103" s="324"/>
    </row>
    <row r="104" spans="1:6">
      <c r="A104" s="1291" t="s">
        <v>77</v>
      </c>
      <c r="B104" s="1292">
        <v>883</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18</v>
      </c>
      <c r="C123" s="1292">
        <v>36</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145</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15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54815.451224591976</v>
      </c>
      <c r="C3" s="43" t="s">
        <v>169</v>
      </c>
      <c r="D3" s="43"/>
      <c r="E3" s="154"/>
      <c r="F3" s="43"/>
      <c r="G3" s="43"/>
      <c r="H3" s="43"/>
      <c r="I3" s="43"/>
      <c r="J3" s="43"/>
      <c r="K3" s="96"/>
    </row>
    <row r="4" spans="1:11">
      <c r="A4" s="352" t="s">
        <v>170</v>
      </c>
      <c r="B4" s="49">
        <f>IF(ISERROR('SEAP template'!B78+'SEAP template'!C78),0,'SEAP template'!B78+'SEAP template'!C78)</f>
        <v>22329.321974961596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347.29374829001381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0.13731034123242966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412.80125170998633</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3573</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0.11553351573187415</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1146.2940000000001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1146.2940000000001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0.13731034123242966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157.39802029268674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25978.619173346829</v>
      </c>
      <c r="C5" s="17">
        <f>IF(ISERROR('Eigen informatie GS &amp; warmtenet'!B57),0,'Eigen informatie GS &amp; warmtenet'!B57)</f>
        <v>0</v>
      </c>
      <c r="D5" s="30">
        <f>(SUM(HH_hh_gas_kWh,HH_rest_gas_kWh)/1000)*0.902</f>
        <v>76876.718322333094</v>
      </c>
      <c r="E5" s="17">
        <f>B32*B41</f>
        <v>919.41450179576862</v>
      </c>
      <c r="F5" s="17">
        <f>B36*B45</f>
        <v>23293.842182505759</v>
      </c>
      <c r="G5" s="18"/>
      <c r="H5" s="17"/>
      <c r="I5" s="17"/>
      <c r="J5" s="17">
        <f>B35*B44+C35*C44</f>
        <v>112.08735521805062</v>
      </c>
      <c r="K5" s="17"/>
      <c r="L5" s="17"/>
      <c r="M5" s="17"/>
      <c r="N5" s="17">
        <f>B34*B43+C34*C43</f>
        <v>9357.0106851564269</v>
      </c>
      <c r="O5" s="17">
        <f>B52*B53*B54</f>
        <v>284.52666666666664</v>
      </c>
      <c r="P5" s="17">
        <f>B60*B61*B62/1000-B60*B61*B62/1000/B63</f>
        <v>629.20000000000005</v>
      </c>
    </row>
    <row r="6" spans="1:16">
      <c r="A6" s="16" t="s">
        <v>613</v>
      </c>
      <c r="B6" s="756">
        <f>kWh_PV_kleiner_dan_10kW</f>
        <v>3664.6350538864472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29643.254227233276</v>
      </c>
      <c r="C8" s="21">
        <f>C5</f>
        <v>0</v>
      </c>
      <c r="D8" s="21">
        <f>D5</f>
        <v>76876.718322333094</v>
      </c>
      <c r="E8" s="21">
        <f>E5</f>
        <v>919.41450179576862</v>
      </c>
      <c r="F8" s="21">
        <f>F5</f>
        <v>23293.842182505759</v>
      </c>
      <c r="G8" s="21"/>
      <c r="H8" s="21"/>
      <c r="I8" s="21"/>
      <c r="J8" s="21">
        <f>J5</f>
        <v>112.08735521805062</v>
      </c>
      <c r="K8" s="21"/>
      <c r="L8" s="21">
        <f>L5</f>
        <v>0</v>
      </c>
      <c r="M8" s="21">
        <f>M5</f>
        <v>0</v>
      </c>
      <c r="N8" s="21">
        <f>N5</f>
        <v>9357.0106851564269</v>
      </c>
      <c r="O8" s="21">
        <f>O5</f>
        <v>284.52666666666664</v>
      </c>
      <c r="P8" s="21">
        <f>P5</f>
        <v>629.20000000000005</v>
      </c>
    </row>
    <row r="9" spans="1:16">
      <c r="B9" s="19"/>
      <c r="C9" s="19"/>
      <c r="D9" s="254"/>
      <c r="E9" s="19"/>
      <c r="F9" s="19"/>
      <c r="G9" s="19"/>
      <c r="H9" s="19"/>
      <c r="I9" s="19"/>
      <c r="J9" s="19"/>
      <c r="K9" s="19"/>
      <c r="L9" s="19"/>
      <c r="M9" s="19"/>
      <c r="N9" s="19"/>
      <c r="O9" s="19"/>
      <c r="P9" s="19"/>
    </row>
    <row r="10" spans="1:16">
      <c r="A10" s="24" t="s">
        <v>213</v>
      </c>
      <c r="B10" s="25">
        <f ca="1">'EF ele_warmte'!B12</f>
        <v>0.13731034123242966</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4070.3253531810642</v>
      </c>
      <c r="C12" s="23">
        <f ca="1">C10*C8</f>
        <v>0</v>
      </c>
      <c r="D12" s="23">
        <f>D8*D10</f>
        <v>15529.097101111285</v>
      </c>
      <c r="E12" s="23">
        <f>E10*E8</f>
        <v>208.70709190763949</v>
      </c>
      <c r="F12" s="23">
        <f>F10*F8</f>
        <v>6219.455862729038</v>
      </c>
      <c r="G12" s="23"/>
      <c r="H12" s="23"/>
      <c r="I12" s="23"/>
      <c r="J12" s="23">
        <f>J10*J8</f>
        <v>39.67892374718992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6737</v>
      </c>
      <c r="C26" s="36"/>
      <c r="D26" s="225"/>
    </row>
    <row r="27" spans="1:5" s="15" customFormat="1">
      <c r="A27" s="227" t="s">
        <v>768</v>
      </c>
      <c r="B27" s="37">
        <f>SUM(HH_hh_gas_aantal,HH_rest_gas_aantal)</f>
        <v>5393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5123.3500000000004</v>
      </c>
      <c r="C31" s="34" t="s">
        <v>110</v>
      </c>
      <c r="D31" s="171"/>
    </row>
    <row r="32" spans="1:5">
      <c r="A32" s="168" t="s">
        <v>72</v>
      </c>
      <c r="B32" s="33">
        <f>IF((B21*($B$26-($B$27-0.05*$B$27)-$B$60))&lt;0,0,B21*($B$26-($B$27-0.05*$B$27)-$B$60))</f>
        <v>17.387931314328167</v>
      </c>
      <c r="C32" s="34" t="s">
        <v>110</v>
      </c>
      <c r="D32" s="171"/>
    </row>
    <row r="33" spans="1:6">
      <c r="A33" s="168" t="s">
        <v>73</v>
      </c>
      <c r="B33" s="33">
        <f>IF((B22*($B$26-($B$27-0.05*$B$27)-$B$60))&lt;0,0,B22*($B$26-($B$27-0.05*$B$27)-$B$60))</f>
        <v>361.50969387550236</v>
      </c>
      <c r="C33" s="34" t="s">
        <v>110</v>
      </c>
      <c r="D33" s="171"/>
    </row>
    <row r="34" spans="1:6">
      <c r="A34" s="168" t="s">
        <v>74</v>
      </c>
      <c r="B34" s="33">
        <f>IF((B24*($B$26-($B$27-0.05*$B$27)-$B$60))&lt;0,0,B24*($B$26-($B$27-0.05*$B$27)-$B$60))</f>
        <v>71.891426678387845</v>
      </c>
      <c r="C34" s="33">
        <f>B26*C24</f>
        <v>1379.0339347096101</v>
      </c>
      <c r="D34" s="230"/>
    </row>
    <row r="35" spans="1:6">
      <c r="A35" s="168" t="s">
        <v>76</v>
      </c>
      <c r="B35" s="33">
        <f>IF((B19*($B$26-($B$27-0.05*$B$27)-$B$60))&lt;0,0,B19*($B$26-($B$27-0.05*$B$27)-$B$60))</f>
        <v>13.160789052532728</v>
      </c>
      <c r="C35" s="33">
        <f>B35/2</f>
        <v>6.5803945262663639</v>
      </c>
      <c r="D35" s="230"/>
    </row>
    <row r="36" spans="1:6">
      <c r="A36" s="168" t="s">
        <v>77</v>
      </c>
      <c r="B36" s="33">
        <f>IF((B18*($B$26-($B$27-0.05*$B$27)-$B$60))&lt;0,0,B18*($B$26-($B$27-0.05*$B$27)-$B$60))</f>
        <v>1116.7001590792486</v>
      </c>
      <c r="C36" s="34" t="s">
        <v>110</v>
      </c>
      <c r="D36" s="171"/>
    </row>
    <row r="37" spans="1:6">
      <c r="A37" s="168" t="s">
        <v>78</v>
      </c>
      <c r="B37" s="33">
        <f>B60</f>
        <v>33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182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13321.800493600858</v>
      </c>
      <c r="C5" s="17">
        <f>IF(ISERROR('Eigen informatie GS &amp; warmtenet'!B58),0,'Eigen informatie GS &amp; warmtenet'!B58)</f>
        <v>0</v>
      </c>
      <c r="D5" s="30">
        <f>SUM(D6:D12)</f>
        <v>16624.920475661394</v>
      </c>
      <c r="E5" s="17">
        <f>SUM(E6:E12)</f>
        <v>239.85447651495878</v>
      </c>
      <c r="F5" s="17">
        <f>SUM(F6:F12)</f>
        <v>2402.1230169273972</v>
      </c>
      <c r="G5" s="18"/>
      <c r="H5" s="17"/>
      <c r="I5" s="17"/>
      <c r="J5" s="17">
        <f>SUM(J6:J12)</f>
        <v>3.6727182759270977E-2</v>
      </c>
      <c r="K5" s="17"/>
      <c r="L5" s="17"/>
      <c r="M5" s="17"/>
      <c r="N5" s="17">
        <f>SUM(N6:N12)</f>
        <v>1456.1111877814621</v>
      </c>
      <c r="O5" s="17">
        <f>B38*B39*B40</f>
        <v>3.1266666666666669</v>
      </c>
      <c r="P5" s="17">
        <f>B46*B47*B48/1000-B46*B47*B48/1000/B49</f>
        <v>0</v>
      </c>
      <c r="R5" s="32"/>
    </row>
    <row r="6" spans="1:18">
      <c r="A6" s="32" t="s">
        <v>53</v>
      </c>
      <c r="B6" s="37">
        <f>B26</f>
        <v>2464.88973208673</v>
      </c>
      <c r="C6" s="33"/>
      <c r="D6" s="37">
        <f>IF(ISERROR(TER_kantoor_gas_kWh/1000),0,TER_kantoor_gas_kWh/1000)*0.902</f>
        <v>6093.9990948787108</v>
      </c>
      <c r="E6" s="33">
        <f>$C$26*'E Balans VL '!I12/100/3.6*1000000</f>
        <v>1.54491090312382E-2</v>
      </c>
      <c r="F6" s="33">
        <f>$C$26*('E Balans VL '!L12+'E Balans VL '!N12)/100/3.6*1000000</f>
        <v>370.40405114459696</v>
      </c>
      <c r="G6" s="34"/>
      <c r="H6" s="33"/>
      <c r="I6" s="33"/>
      <c r="J6" s="33">
        <f>$C$26*('E Balans VL '!D12+'E Balans VL '!E12)/100/3.6*1000000</f>
        <v>0</v>
      </c>
      <c r="K6" s="33"/>
      <c r="L6" s="33"/>
      <c r="M6" s="33"/>
      <c r="N6" s="33">
        <f>$C$26*'E Balans VL '!Y12/100/3.6*1000000</f>
        <v>2.3573015687310712</v>
      </c>
      <c r="O6" s="33"/>
      <c r="P6" s="33"/>
      <c r="R6" s="32"/>
    </row>
    <row r="7" spans="1:18">
      <c r="A7" s="32" t="s">
        <v>52</v>
      </c>
      <c r="B7" s="37">
        <f t="shared" ref="B7:B12" si="0">B27</f>
        <v>1361.11965215948</v>
      </c>
      <c r="C7" s="33"/>
      <c r="D7" s="37">
        <f>IF(ISERROR(TER_horeca_gas_kWh/1000),0,TER_horeca_gas_kWh/1000)*0.902</f>
        <v>2035.3321513900864</v>
      </c>
      <c r="E7" s="33">
        <f>$C$27*'E Balans VL '!I9/100/3.6*1000000</f>
        <v>19.491006699669974</v>
      </c>
      <c r="F7" s="33">
        <f>$C$27*('E Balans VL '!L9+'E Balans VL '!N9)/100/3.6*1000000</f>
        <v>172.36263941900049</v>
      </c>
      <c r="G7" s="34"/>
      <c r="H7" s="33"/>
      <c r="I7" s="33"/>
      <c r="J7" s="33">
        <f>$C$27*('E Balans VL '!D9+'E Balans VL '!E9)/100/3.6*1000000</f>
        <v>0</v>
      </c>
      <c r="K7" s="33"/>
      <c r="L7" s="33"/>
      <c r="M7" s="33"/>
      <c r="N7" s="33">
        <f>$C$27*'E Balans VL '!Y9/100/3.6*1000000</f>
        <v>0.39129188988357838</v>
      </c>
      <c r="O7" s="33"/>
      <c r="P7" s="33"/>
      <c r="R7" s="32"/>
    </row>
    <row r="8" spans="1:18">
      <c r="A8" s="6" t="s">
        <v>51</v>
      </c>
      <c r="B8" s="37">
        <f t="shared" si="0"/>
        <v>5055.4257775256301</v>
      </c>
      <c r="C8" s="33"/>
      <c r="D8" s="37">
        <f>IF(ISERROR(TER_handel_gas_kWh/1000),0,TER_handel_gas_kWh/1000)*0.902</f>
        <v>2349.3397580093756</v>
      </c>
      <c r="E8" s="33">
        <f>$C$28*'E Balans VL '!I13/100/3.6*1000000</f>
        <v>183.35966954367731</v>
      </c>
      <c r="F8" s="33">
        <f>$C$28*('E Balans VL '!L13+'E Balans VL '!N13)/100/3.6*1000000</f>
        <v>973.72619419195667</v>
      </c>
      <c r="G8" s="34"/>
      <c r="H8" s="33"/>
      <c r="I8" s="33"/>
      <c r="J8" s="33">
        <f>$C$28*('E Balans VL '!D13+'E Balans VL '!E13)/100/3.6*1000000</f>
        <v>0</v>
      </c>
      <c r="K8" s="33"/>
      <c r="L8" s="33"/>
      <c r="M8" s="33"/>
      <c r="N8" s="33">
        <f>$C$28*'E Balans VL '!Y13/100/3.6*1000000</f>
        <v>7.0029279034671692</v>
      </c>
      <c r="O8" s="33"/>
      <c r="P8" s="33"/>
      <c r="R8" s="32"/>
    </row>
    <row r="9" spans="1:18">
      <c r="A9" s="32" t="s">
        <v>50</v>
      </c>
      <c r="B9" s="37">
        <f t="shared" si="0"/>
        <v>229.203793980027</v>
      </c>
      <c r="C9" s="33"/>
      <c r="D9" s="37">
        <f>IF(ISERROR(TER_gezond_gas_kWh/1000),0,TER_gezond_gas_kWh/1000)*0.902</f>
        <v>381.61893361738208</v>
      </c>
      <c r="E9" s="33">
        <f>$C$29*'E Balans VL '!I10/100/3.6*1000000</f>
        <v>1.4350420481784512E-2</v>
      </c>
      <c r="F9" s="33">
        <f>$C$29*('E Balans VL '!L10+'E Balans VL '!N10)/100/3.6*1000000</f>
        <v>34.048921454825091</v>
      </c>
      <c r="G9" s="34"/>
      <c r="H9" s="33"/>
      <c r="I9" s="33"/>
      <c r="J9" s="33">
        <f>$C$29*('E Balans VL '!D10+'E Balans VL '!E10)/100/3.6*1000000</f>
        <v>0</v>
      </c>
      <c r="K9" s="33"/>
      <c r="L9" s="33"/>
      <c r="M9" s="33"/>
      <c r="N9" s="33">
        <f>$C$29*'E Balans VL '!Y10/100/3.6*1000000</f>
        <v>3.5453464015586738</v>
      </c>
      <c r="O9" s="33"/>
      <c r="P9" s="33"/>
      <c r="R9" s="32"/>
    </row>
    <row r="10" spans="1:18">
      <c r="A10" s="32" t="s">
        <v>49</v>
      </c>
      <c r="B10" s="37">
        <f t="shared" si="0"/>
        <v>1387.9990322067599</v>
      </c>
      <c r="C10" s="33"/>
      <c r="D10" s="37">
        <f>IF(ISERROR(TER_ander_gas_kWh/1000),0,TER_ander_gas_kWh/1000)*0.902</f>
        <v>1022.1188243195643</v>
      </c>
      <c r="E10" s="33">
        <f>$C$30*'E Balans VL '!I14/100/3.6*1000000</f>
        <v>1.654445247685755</v>
      </c>
      <c r="F10" s="33">
        <f>$C$30*('E Balans VL '!L14+'E Balans VL '!N14)/100/3.6*1000000</f>
        <v>363.1622524157093</v>
      </c>
      <c r="G10" s="34"/>
      <c r="H10" s="33"/>
      <c r="I10" s="33"/>
      <c r="J10" s="33">
        <f>$C$30*('E Balans VL '!D14+'E Balans VL '!E14)/100/3.6*1000000</f>
        <v>3.0128018183233823E-2</v>
      </c>
      <c r="K10" s="33"/>
      <c r="L10" s="33"/>
      <c r="M10" s="33"/>
      <c r="N10" s="33">
        <f>$C$30*'E Balans VL '!Y14/100/3.6*1000000</f>
        <v>1178.6548142917379</v>
      </c>
      <c r="O10" s="33"/>
      <c r="P10" s="33"/>
      <c r="R10" s="32"/>
    </row>
    <row r="11" spans="1:18">
      <c r="A11" s="32" t="s">
        <v>54</v>
      </c>
      <c r="B11" s="37">
        <f t="shared" si="0"/>
        <v>97.952593923131104</v>
      </c>
      <c r="C11" s="33"/>
      <c r="D11" s="37">
        <f>IF(ISERROR(TER_onderwijs_gas_kWh/1000),0,TER_onderwijs_gas_kWh/1000)*0.902</f>
        <v>0</v>
      </c>
      <c r="E11" s="33">
        <f>$C$31*'E Balans VL '!I11/100/3.6*1000000</f>
        <v>1.4779468746454569</v>
      </c>
      <c r="F11" s="33">
        <f>$C$31*('E Balans VL '!L11+'E Balans VL '!N11)/100/3.6*1000000</f>
        <v>17.162859294573934</v>
      </c>
      <c r="G11" s="34"/>
      <c r="H11" s="33"/>
      <c r="I11" s="33"/>
      <c r="J11" s="33">
        <f>$C$31*('E Balans VL '!D11+'E Balans VL '!E11)/100/3.6*1000000</f>
        <v>0</v>
      </c>
      <c r="K11" s="33"/>
      <c r="L11" s="33"/>
      <c r="M11" s="33"/>
      <c r="N11" s="33">
        <f>$C$31*'E Balans VL '!Y11/100/3.6*1000000</f>
        <v>0.27564604593946296</v>
      </c>
      <c r="O11" s="33"/>
      <c r="P11" s="33"/>
      <c r="R11" s="32"/>
    </row>
    <row r="12" spans="1:18">
      <c r="A12" s="32" t="s">
        <v>254</v>
      </c>
      <c r="B12" s="37">
        <f t="shared" si="0"/>
        <v>2725.2099117191001</v>
      </c>
      <c r="C12" s="33"/>
      <c r="D12" s="37">
        <f>IF(ISERROR(TER_rest_gas_kWh/1000),0,TER_rest_gas_kWh/1000)*0.902</f>
        <v>4742.5117134462753</v>
      </c>
      <c r="E12" s="33">
        <f>$C$32*'E Balans VL '!I8/100/3.6*1000000</f>
        <v>33.841608619767264</v>
      </c>
      <c r="F12" s="33">
        <f>$C$32*('E Balans VL '!L8+'E Balans VL '!N8)/100/3.6*1000000</f>
        <v>471.2560990067347</v>
      </c>
      <c r="G12" s="34"/>
      <c r="H12" s="33"/>
      <c r="I12" s="33"/>
      <c r="J12" s="33">
        <f>$C$32*('E Balans VL '!D8+'E Balans VL '!E8)/100/3.6*1000000</f>
        <v>6.5991645760371557E-3</v>
      </c>
      <c r="K12" s="33"/>
      <c r="L12" s="33"/>
      <c r="M12" s="33"/>
      <c r="N12" s="33">
        <f>$C$32*'E Balans VL '!Y8/100/3.6*1000000</f>
        <v>263.88385968014421</v>
      </c>
      <c r="O12" s="33"/>
      <c r="P12" s="33"/>
      <c r="R12" s="32"/>
    </row>
    <row r="13" spans="1:18">
      <c r="A13" s="16" t="s">
        <v>480</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13321.800493600858</v>
      </c>
      <c r="C16" s="21">
        <f t="shared" ca="1" si="1"/>
        <v>0</v>
      </c>
      <c r="D16" s="21">
        <f t="shared" ca="1" si="1"/>
        <v>16624.920475661394</v>
      </c>
      <c r="E16" s="21">
        <f t="shared" si="1"/>
        <v>239.85447651495878</v>
      </c>
      <c r="F16" s="21">
        <f t="shared" ca="1" si="1"/>
        <v>2402.1230169273972</v>
      </c>
      <c r="G16" s="21">
        <f t="shared" si="1"/>
        <v>0</v>
      </c>
      <c r="H16" s="21">
        <f t="shared" si="1"/>
        <v>0</v>
      </c>
      <c r="I16" s="21">
        <f t="shared" si="1"/>
        <v>0</v>
      </c>
      <c r="J16" s="21">
        <f t="shared" si="1"/>
        <v>3.6727182759270977E-2</v>
      </c>
      <c r="K16" s="21">
        <f t="shared" si="1"/>
        <v>0</v>
      </c>
      <c r="L16" s="21">
        <f t="shared" ca="1" si="1"/>
        <v>0</v>
      </c>
      <c r="M16" s="21">
        <f t="shared" si="1"/>
        <v>0</v>
      </c>
      <c r="N16" s="21">
        <f t="shared" ca="1" si="1"/>
        <v>1456.1111877814621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0.13731034123242966</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1829.2209716066839</v>
      </c>
      <c r="C20" s="23">
        <f t="shared" ref="C20:P20" ca="1" si="2">C16*C18</f>
        <v>0</v>
      </c>
      <c r="D20" s="23">
        <f t="shared" ca="1" si="2"/>
        <v>3358.2339360836017</v>
      </c>
      <c r="E20" s="23">
        <f t="shared" si="2"/>
        <v>54.446966168895642</v>
      </c>
      <c r="F20" s="23">
        <f t="shared" ca="1" si="2"/>
        <v>641.36684551961514</v>
      </c>
      <c r="G20" s="23">
        <f t="shared" si="2"/>
        <v>0</v>
      </c>
      <c r="H20" s="23">
        <f t="shared" si="2"/>
        <v>0</v>
      </c>
      <c r="I20" s="23">
        <f t="shared" si="2"/>
        <v>0</v>
      </c>
      <c r="J20" s="23">
        <f t="shared" si="2"/>
        <v>1.3001422696781924E-2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2464.88973208673</v>
      </c>
      <c r="C26" s="39">
        <f>IF(ISERROR(B26*3.6/1000000/'E Balans VL '!Z12*100),0,B26*3.6/1000000/'E Balans VL '!Z12*100)</f>
        <v>5.2103864235575371E-2</v>
      </c>
      <c r="D26" s="233" t="s">
        <v>732</v>
      </c>
      <c r="F26" s="6"/>
    </row>
    <row r="27" spans="1:18">
      <c r="A27" s="228" t="s">
        <v>52</v>
      </c>
      <c r="B27" s="33">
        <f>IF(ISERROR(TER_horeca_ele_kWh/1000),0,TER_horeca_ele_kWh/1000)</f>
        <v>1361.11965215948</v>
      </c>
      <c r="C27" s="39">
        <f>IF(ISERROR(B27*3.6/1000000/'E Balans VL '!Z9*100),0,B27*3.6/1000000/'E Balans VL '!Z9*100)</f>
        <v>0.10729655486453805</v>
      </c>
      <c r="D27" s="233" t="s">
        <v>732</v>
      </c>
      <c r="F27" s="6"/>
    </row>
    <row r="28" spans="1:18">
      <c r="A28" s="168" t="s">
        <v>51</v>
      </c>
      <c r="B28" s="33">
        <f>IF(ISERROR(TER_handel_ele_kWh/1000),0,TER_handel_ele_kWh/1000)</f>
        <v>5055.4257775256301</v>
      </c>
      <c r="C28" s="39">
        <f>IF(ISERROR(B28*3.6/1000000/'E Balans VL '!Z13*100),0,B28*3.6/1000000/'E Balans VL '!Z13*100)</f>
        <v>0.14672888227281639</v>
      </c>
      <c r="D28" s="233" t="s">
        <v>732</v>
      </c>
      <c r="F28" s="6"/>
    </row>
    <row r="29" spans="1:18">
      <c r="A29" s="228" t="s">
        <v>50</v>
      </c>
      <c r="B29" s="33">
        <f>IF(ISERROR(TER_gezond_ele_kWh/1000),0,TER_gezond_ele_kWh/1000)</f>
        <v>229.203793980027</v>
      </c>
      <c r="C29" s="39">
        <f>IF(ISERROR(B29*3.6/1000000/'E Balans VL '!Z10*100),0,B29*3.6/1000000/'E Balans VL '!Z10*100)</f>
        <v>2.4138923131739164E-2</v>
      </c>
      <c r="D29" s="233" t="s">
        <v>732</v>
      </c>
      <c r="F29" s="6"/>
    </row>
    <row r="30" spans="1:18">
      <c r="A30" s="228" t="s">
        <v>49</v>
      </c>
      <c r="B30" s="33">
        <f>IF(ISERROR(TER_ander_ele_kWh/1000),0,TER_ander_ele_kWh/1000)</f>
        <v>1387.9990322067599</v>
      </c>
      <c r="C30" s="39">
        <f>IF(ISERROR(B30*3.6/1000000/'E Balans VL '!Z14*100),0,B30*3.6/1000000/'E Balans VL '!Z14*100)</f>
        <v>0.10237911008746077</v>
      </c>
      <c r="D30" s="233" t="s">
        <v>732</v>
      </c>
      <c r="F30" s="6"/>
    </row>
    <row r="31" spans="1:18">
      <c r="A31" s="228" t="s">
        <v>54</v>
      </c>
      <c r="B31" s="33">
        <f>IF(ISERROR(TER_onderwijs_ele_kWh/1000),0,TER_onderwijs_ele_kWh/1000)</f>
        <v>97.952593923131104</v>
      </c>
      <c r="C31" s="39">
        <f>IF(ISERROR(B31*3.6/1000000/'E Balans VL '!Z11*100),0,B31*3.6/1000000/'E Balans VL '!Z11*100)</f>
        <v>2.4326217440831355E-2</v>
      </c>
      <c r="D31" s="233" t="s">
        <v>732</v>
      </c>
    </row>
    <row r="32" spans="1:18">
      <c r="A32" s="228" t="s">
        <v>254</v>
      </c>
      <c r="B32" s="33">
        <f>IF(ISERROR(TER_rest_ele_kWh/1000),0,TER_rest_ele_kWh/1000)</f>
        <v>2725.2099117191001</v>
      </c>
      <c r="C32" s="39">
        <f>IF(ISERROR(B32*3.6/1000000/'E Balans VL '!Z8*100),0,B32*3.6/1000000/'E Balans VL '!Z8*100)</f>
        <v>2.2424860225003403E-2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6881.0790063842342</v>
      </c>
      <c r="C5" s="17">
        <f>IF(ISERROR('Eigen informatie GS &amp; warmtenet'!B59),0,'Eigen informatie GS &amp; warmtenet'!B59)</f>
        <v>0</v>
      </c>
      <c r="D5" s="30">
        <f>SUM(D6:D15)</f>
        <v>7452.3604764610973</v>
      </c>
      <c r="E5" s="17">
        <f>SUM(E6:E15)</f>
        <v>601.29269543274188</v>
      </c>
      <c r="F5" s="17">
        <f>SUM(F6:F15)</f>
        <v>1933.3681841082935</v>
      </c>
      <c r="G5" s="18"/>
      <c r="H5" s="17"/>
      <c r="I5" s="17"/>
      <c r="J5" s="17">
        <f>SUM(J6:J15)</f>
        <v>16.459636401009593</v>
      </c>
      <c r="K5" s="17"/>
      <c r="L5" s="17"/>
      <c r="M5" s="17"/>
      <c r="N5" s="17">
        <f>SUM(N6:N15)</f>
        <v>477.49235246111061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393.82385211468699</v>
      </c>
      <c r="C8" s="33"/>
      <c r="D8" s="37">
        <f>IF( ISERROR(IND_metaal_Gas_kWH/1000),0,IND_metaal_Gas_kWH/1000)*0.902</f>
        <v>0</v>
      </c>
      <c r="E8" s="33">
        <f>C30*'E Balans VL '!I18/100/3.6*1000000</f>
        <v>3.6208299615009523</v>
      </c>
      <c r="F8" s="33">
        <f>C30*'E Balans VL '!L18/100/3.6*1000000+C30*'E Balans VL '!N18/100/3.6*1000000</f>
        <v>36.927565605091999</v>
      </c>
      <c r="G8" s="34"/>
      <c r="H8" s="33"/>
      <c r="I8" s="33"/>
      <c r="J8" s="40">
        <f>C30*'E Balans VL '!D18/100/3.6*1000000+C30*'E Balans VL '!E18/100/3.6*1000000</f>
        <v>0</v>
      </c>
      <c r="K8" s="33"/>
      <c r="L8" s="33"/>
      <c r="M8" s="33"/>
      <c r="N8" s="33">
        <f>C30*'E Balans VL '!Y18/100/3.6*1000000</f>
        <v>5.618548071738398</v>
      </c>
      <c r="O8" s="33"/>
      <c r="P8" s="33"/>
      <c r="R8" s="32"/>
    </row>
    <row r="9" spans="1:18">
      <c r="A9" s="6" t="s">
        <v>32</v>
      </c>
      <c r="B9" s="37">
        <f t="shared" si="0"/>
        <v>1171.1646046327899</v>
      </c>
      <c r="C9" s="33"/>
      <c r="D9" s="37">
        <f>IF( ISERROR(IND_andere_gas_kWh/1000),0,IND_andere_gas_kWh/1000)*0.902</f>
        <v>1638.4409882281645</v>
      </c>
      <c r="E9" s="33">
        <f>C31*'E Balans VL '!I19/100/3.6*1000000</f>
        <v>342.35421381978568</v>
      </c>
      <c r="F9" s="33">
        <f>C31*'E Balans VL '!L19/100/3.6*1000000+C31*'E Balans VL '!N19/100/3.6*1000000</f>
        <v>941.11940883742079</v>
      </c>
      <c r="G9" s="34"/>
      <c r="H9" s="33"/>
      <c r="I9" s="33"/>
      <c r="J9" s="40">
        <f>C31*'E Balans VL '!D19/100/3.6*1000000+C31*'E Balans VL '!E19/100/3.6*1000000</f>
        <v>0</v>
      </c>
      <c r="K9" s="33"/>
      <c r="L9" s="33"/>
      <c r="M9" s="33"/>
      <c r="N9" s="33">
        <f>C31*'E Balans VL '!Y19/100/3.6*1000000</f>
        <v>91.864560948088197</v>
      </c>
      <c r="O9" s="33"/>
      <c r="P9" s="33"/>
      <c r="R9" s="32"/>
    </row>
    <row r="10" spans="1:18">
      <c r="A10" s="6" t="s">
        <v>40</v>
      </c>
      <c r="B10" s="37">
        <f t="shared" si="0"/>
        <v>696.70461364051505</v>
      </c>
      <c r="C10" s="33"/>
      <c r="D10" s="37">
        <f>IF( ISERROR(IND_voed_gas_kWh/1000),0,IND_voed_gas_kWh/1000)*0.902</f>
        <v>1751.0172463396493</v>
      </c>
      <c r="E10" s="33">
        <f>C32*'E Balans VL '!I20/100/3.6*1000000</f>
        <v>1.4738894126894881</v>
      </c>
      <c r="F10" s="33">
        <f>C32*'E Balans VL '!L20/100/3.6*1000000+C32*'E Balans VL '!N20/100/3.6*1000000</f>
        <v>44.297190998157596</v>
      </c>
      <c r="G10" s="34"/>
      <c r="H10" s="33"/>
      <c r="I10" s="33"/>
      <c r="J10" s="40">
        <f>C32*'E Balans VL '!D20/100/3.6*1000000+C32*'E Balans VL '!E20/100/3.6*1000000</f>
        <v>0</v>
      </c>
      <c r="K10" s="33"/>
      <c r="L10" s="33"/>
      <c r="M10" s="33"/>
      <c r="N10" s="33">
        <f>C32*'E Balans VL '!Y20/100/3.6*1000000</f>
        <v>48.079493590316787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22.677406240843098</v>
      </c>
      <c r="C13" s="33"/>
      <c r="D13" s="37">
        <f>IF( ISERROR(IND_papier_gas_kWh/1000),0,IND_papier_gas_kWh/1000)*0.902</f>
        <v>50.178564056554826</v>
      </c>
      <c r="E13" s="33">
        <f>C35*'E Balans VL '!I23/100/3.6*1000000</f>
        <v>3.2174053173210093E-2</v>
      </c>
      <c r="F13" s="33">
        <f>C35*'E Balans VL '!L23/100/3.6*1000000+C35*'E Balans VL '!N23/100/3.6*1000000</f>
        <v>0.55364075888434272</v>
      </c>
      <c r="G13" s="34"/>
      <c r="H13" s="33"/>
      <c r="I13" s="33"/>
      <c r="J13" s="40">
        <f>C35*'E Balans VL '!D23/100/3.6*1000000+C35*'E Balans VL '!E23/100/3.6*1000000</f>
        <v>3.5072737836102747E-3</v>
      </c>
      <c r="K13" s="33"/>
      <c r="L13" s="33"/>
      <c r="M13" s="33"/>
      <c r="N13" s="33">
        <f>C35*'E Balans VL '!Y23/100/3.6*1000000</f>
        <v>9.2656593896693327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4596.7085297553995</v>
      </c>
      <c r="C15" s="33"/>
      <c r="D15" s="37">
        <f>IF( ISERROR(IND_rest_gas_kWh/1000),0,IND_rest_gas_kWh/1000)*0.902</f>
        <v>4012.7236778367287</v>
      </c>
      <c r="E15" s="33">
        <f>C37*'E Balans VL '!I15/100/3.6*1000000</f>
        <v>253.81158818559257</v>
      </c>
      <c r="F15" s="33">
        <f>C37*'E Balans VL '!L15/100/3.6*1000000+C37*'E Balans VL '!N15/100/3.6*1000000</f>
        <v>910.47037790873878</v>
      </c>
      <c r="G15" s="34"/>
      <c r="H15" s="33"/>
      <c r="I15" s="33"/>
      <c r="J15" s="40">
        <f>C37*'E Balans VL '!D15/100/3.6*1000000+C37*'E Balans VL '!E15/100/3.6*1000000</f>
        <v>16.456129127225982</v>
      </c>
      <c r="K15" s="33"/>
      <c r="L15" s="33"/>
      <c r="M15" s="33"/>
      <c r="N15" s="33">
        <f>C37*'E Balans VL '!Y15/100/3.6*1000000</f>
        <v>322.66409046129792</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6881.0790063842342</v>
      </c>
      <c r="C18" s="21">
        <f>C5+C16</f>
        <v>0</v>
      </c>
      <c r="D18" s="21">
        <f>MAX((D5+D16),0)</f>
        <v>7452.3604764610973</v>
      </c>
      <c r="E18" s="21">
        <f>MAX((E5+E16),0)</f>
        <v>601.29269543274188</v>
      </c>
      <c r="F18" s="21">
        <f>MAX((F5+F16),0)</f>
        <v>1933.3681841082935</v>
      </c>
      <c r="G18" s="21"/>
      <c r="H18" s="21"/>
      <c r="I18" s="21"/>
      <c r="J18" s="21">
        <f>MAX((J5+J16),0)</f>
        <v>16.459636401009593</v>
      </c>
      <c r="K18" s="21"/>
      <c r="L18" s="21">
        <f>MAX((L5+L16),0)</f>
        <v>0</v>
      </c>
      <c r="M18" s="21"/>
      <c r="N18" s="21">
        <f>MAX((N5+N16),0)</f>
        <v>477.49235246111061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0.13731034123242966</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944.84330641392728</v>
      </c>
      <c r="C22" s="23">
        <f ca="1">C18*C20</f>
        <v>0</v>
      </c>
      <c r="D22" s="23">
        <f>D18*D20</f>
        <v>1505.3768162451418</v>
      </c>
      <c r="E22" s="23">
        <f>E18*E20</f>
        <v>136.49344186323242</v>
      </c>
      <c r="F22" s="23">
        <f>F18*F20</f>
        <v>516.20930515691441</v>
      </c>
      <c r="G22" s="23"/>
      <c r="H22" s="23"/>
      <c r="I22" s="23"/>
      <c r="J22" s="23">
        <f>J18*J20</f>
        <v>5.826711285957396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393.82385211468699</v>
      </c>
      <c r="C30" s="39">
        <f>IF(ISERROR(B30*3.6/1000000/'E Balans VL '!Z18*100),0,B30*3.6/1000000/'E Balans VL '!Z18*100)</f>
        <v>2.2319007529743931E-2</v>
      </c>
      <c r="D30" s="233" t="s">
        <v>732</v>
      </c>
    </row>
    <row r="31" spans="1:18">
      <c r="A31" s="6" t="s">
        <v>32</v>
      </c>
      <c r="B31" s="37">
        <f>IF( ISERROR(IND_ander_ele_kWh/1000),0,IND_ander_ele_kWh/1000)</f>
        <v>1171.1646046327899</v>
      </c>
      <c r="C31" s="39">
        <f>IF(ISERROR(B31*3.6/1000000/'E Balans VL '!Z19*100),0,B31*3.6/1000000/'E Balans VL '!Z19*100)</f>
        <v>5.3119149821606162E-2</v>
      </c>
      <c r="D31" s="233" t="s">
        <v>732</v>
      </c>
    </row>
    <row r="32" spans="1:18">
      <c r="A32" s="168" t="s">
        <v>40</v>
      </c>
      <c r="B32" s="37">
        <f>IF( ISERROR(IND_voed_ele_kWh/1000),0,IND_voed_ele_kWh/1000)</f>
        <v>696.70461364051505</v>
      </c>
      <c r="C32" s="39">
        <f>IF(ISERROR(B32*3.6/1000000/'E Balans VL '!Z20*100),0,B32*3.6/1000000/'E Balans VL '!Z20*100)</f>
        <v>2.1552236471796854E-2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22.677406240843098</v>
      </c>
      <c r="C35" s="39">
        <f>IF(ISERROR(B35*3.6/1000000/'E Balans VL '!Z22*100),0,B35*3.6/1000000/'E Balans VL '!Z22*100)</f>
        <v>4.0789578558014881E-3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4596.7085297553995</v>
      </c>
      <c r="C37" s="39">
        <f>IF(ISERROR(B37*3.6/1000000/'E Balans VL '!Z15*100),0,B37*3.6/1000000/'E Balans VL '!Z15*100)</f>
        <v>3.6434560393280808E-2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2145.3118775164421</v>
      </c>
      <c r="C5" s="17">
        <f>'Eigen informatie GS &amp; warmtenet'!B60</f>
        <v>0</v>
      </c>
      <c r="D5" s="30">
        <f>IF(ISERROR(SUM(LB_lb_gas_kWh,LB_rest_gas_kWh)/1000),0,SUM(LB_lb_gas_kWh,LB_rest_gas_kWh)/1000)*0.902</f>
        <v>385.18368282258382</v>
      </c>
      <c r="E5" s="17">
        <f>B17*'E Balans VL '!I25/3.6*1000000/100</f>
        <v>63.057268618986015</v>
      </c>
      <c r="F5" s="17">
        <f>B17*('E Balans VL '!L25/3.6*1000000+'E Balans VL '!N25/3.6*1000000)/100</f>
        <v>8937.2533551643537</v>
      </c>
      <c r="G5" s="18"/>
      <c r="H5" s="17"/>
      <c r="I5" s="17"/>
      <c r="J5" s="17">
        <f>('E Balans VL '!D25+'E Balans VL '!E25)/3.6*1000000*landbouw!B17/100</f>
        <v>310.80961995219218</v>
      </c>
      <c r="K5" s="17"/>
      <c r="L5" s="17">
        <f>L6*(-1)</f>
        <v>4455</v>
      </c>
      <c r="M5" s="17"/>
      <c r="N5" s="17">
        <f>N6*(-1)</f>
        <v>0</v>
      </c>
      <c r="O5" s="17"/>
      <c r="P5" s="17"/>
      <c r="R5" s="32"/>
    </row>
    <row r="6" spans="1:18">
      <c r="A6" s="16" t="s">
        <v>480</v>
      </c>
      <c r="B6" s="17" t="s">
        <v>210</v>
      </c>
      <c r="C6" s="17">
        <f>'lokale energieproductie'!O40+'lokale energieproductie'!O33</f>
        <v>3573</v>
      </c>
      <c r="D6" s="302">
        <f>('lokale energieproductie'!P33+'lokale energieproductie'!P40)*(-1)</f>
        <v>-1800.0000000000005</v>
      </c>
      <c r="E6" s="244"/>
      <c r="F6" s="302">
        <f>('lokale energieproductie'!S33+'lokale energieproductie'!S40)*(-1)</f>
        <v>-1485</v>
      </c>
      <c r="G6" s="245"/>
      <c r="H6" s="244"/>
      <c r="I6" s="244"/>
      <c r="J6" s="244"/>
      <c r="K6" s="244"/>
      <c r="L6" s="302">
        <f>('lokale energieproductie'!T33+'lokale energieproductie'!U33+'lokale energieproductie'!T40+'lokale energieproductie'!U40)*(-1)</f>
        <v>-4455</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2145.3118775164421</v>
      </c>
      <c r="C8" s="21">
        <f>C5+C6</f>
        <v>3573</v>
      </c>
      <c r="D8" s="21">
        <f>MAX((D5+D6),0)</f>
        <v>0</v>
      </c>
      <c r="E8" s="21">
        <f>MAX((E5+E6),0)</f>
        <v>63.057268618986015</v>
      </c>
      <c r="F8" s="21">
        <f>MAX((F5+F6),0)</f>
        <v>7452.2533551643537</v>
      </c>
      <c r="G8" s="21"/>
      <c r="H8" s="21"/>
      <c r="I8" s="21"/>
      <c r="J8" s="21">
        <f>MAX((J5+J6),0)</f>
        <v>310.80961995219218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0.13731034123242966</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294.573505951767</v>
      </c>
      <c r="C12" s="23">
        <f ca="1">C8*C10</f>
        <v>412.80125170998633</v>
      </c>
      <c r="D12" s="23">
        <f>D8*D10</f>
        <v>0</v>
      </c>
      <c r="E12" s="23">
        <f>E8*E10</f>
        <v>14.313999976509827</v>
      </c>
      <c r="F12" s="23">
        <f>F8*F10</f>
        <v>1989.7516458288826</v>
      </c>
      <c r="G12" s="23"/>
      <c r="H12" s="23"/>
      <c r="I12" s="23"/>
      <c r="J12" s="23">
        <f>J8*J10</f>
        <v>110.02660546307602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0.30442648613033313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326.1270922585303</v>
      </c>
      <c r="C26" s="243">
        <f>B26*'GWP N2O_CH4'!B5</f>
        <v>6848.6689374291363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184.41584044245894</v>
      </c>
      <c r="C27" s="243">
        <f>B27*'GWP N2O_CH4'!B5</f>
        <v>3872.7326492916377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4.5159477006992379</v>
      </c>
      <c r="C28" s="243">
        <f>B28*'GWP N2O_CH4'!B4</f>
        <v>1399.9437872167637</v>
      </c>
      <c r="D28" s="50"/>
    </row>
    <row r="29" spans="1:4">
      <c r="A29" s="41" t="s">
        <v>271</v>
      </c>
      <c r="B29" s="243">
        <f>B34*'ha_N2O bodem landbouw'!B4</f>
        <v>10.960933051834232</v>
      </c>
      <c r="C29" s="243">
        <f>B29*'GWP N2O_CH4'!B4</f>
        <v>3397.889246068612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2.501247149372862E-3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2.920146767763098E-4</v>
      </c>
      <c r="C5" s="431" t="s">
        <v>210</v>
      </c>
      <c r="D5" s="416">
        <f>SUM(D6:D11)</f>
        <v>4.3932751422792412E-4</v>
      </c>
      <c r="E5" s="416">
        <f>SUM(E6:E11)</f>
        <v>8.6271263407353615E-4</v>
      </c>
      <c r="F5" s="429" t="s">
        <v>210</v>
      </c>
      <c r="G5" s="416">
        <f>SUM(G6:G11)</f>
        <v>0.48695590277261191</v>
      </c>
      <c r="H5" s="416">
        <f>SUM(H6:H11)</f>
        <v>7.2443022005005533E-2</v>
      </c>
      <c r="I5" s="431" t="s">
        <v>210</v>
      </c>
      <c r="J5" s="431" t="s">
        <v>210</v>
      </c>
      <c r="K5" s="431" t="s">
        <v>210</v>
      </c>
      <c r="L5" s="431" t="s">
        <v>210</v>
      </c>
      <c r="M5" s="416">
        <f>SUM(M6:M11)</f>
        <v>3.0583300070267931E-2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5.4524962589087678E-5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9.1666050289076383E-5</v>
      </c>
      <c r="E6" s="859">
        <f>vkm_GW_PW*SUMIFS(TableVerdeelsleutelVkm[LPG],TableVerdeelsleutelVkm[Voertuigtype],"Lichte voertuigen")*SUMIFS(TableECFTransport[EnergieConsumptieFactor (PJ per km)],TableECFTransport[Index],CONCATENATE($A6,"_LPG_LPG"))</f>
        <v>1.6128720076831354E-4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4.7853445485212011E-2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1.4809897346878717E-2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3.2318742172498353E-3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9.8389450644574452E-7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3.1603103408018231E-2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5.1562317426054117E-7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1.8464285045838348E-3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4.3695437627646626E-5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9.4191524440309627E-5</v>
      </c>
      <c r="E8" s="419">
        <f>vkm_NGW_PW*SUMIFS(TableVerdeelsleutelVkm[LPG],TableVerdeelsleutelVkm[Voertuigtype],"Lichte voertuigen")*SUMIFS(TableECFTransport[EnergieConsumptieFactor (PJ per km)],TableECFTransport[Index],CONCATENATE($A8,"_LPG_LPG"))</f>
        <v>1.5870206627604394E-4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4.3787376504183066E-2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1.4905031769642434E-2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2.9971148305254071E-3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4.8891352125282919E-7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2.0149408941670239E-2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3.0926614921216081E-7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1.1772396024425321E-3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1.8590822890498005E-4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2.5346993949853814E-4</v>
      </c>
      <c r="E10" s="419">
        <f>vkm_SW_PW*SUMIFS(TableVerdeelsleutelVkm[LPG],TableVerdeelsleutelVkm[Voertuigtype],"Lichte voertuigen")*SUMIFS(TableECFTransport[EnergieConsumptieFactor (PJ per km)],TableECFTransport[Index],CONCATENATE($A10,"_LPG_LPG"))</f>
        <v>5.427233670291787E-4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0.1473548323500749</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4.2723808670706249E-2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9.867091624824343E-3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6.413239626896887E-6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0.19620773608345343</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3.459328454669467E-6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1.146355129064198E-2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81.115187993419383</v>
      </c>
      <c r="C14" s="21"/>
      <c r="D14" s="21">
        <f t="shared" ref="D14:M14" si="0">((D5)*10^9/3600)+D12</f>
        <v>122.0354206188678</v>
      </c>
      <c r="E14" s="21">
        <f t="shared" si="0"/>
        <v>239.64239835376003</v>
      </c>
      <c r="F14" s="21"/>
      <c r="G14" s="21">
        <f t="shared" si="0"/>
        <v>135265.52854794776</v>
      </c>
      <c r="H14" s="21">
        <f t="shared" si="0"/>
        <v>20123.061668057093</v>
      </c>
      <c r="I14" s="21"/>
      <c r="J14" s="21"/>
      <c r="K14" s="21"/>
      <c r="L14" s="21"/>
      <c r="M14" s="21">
        <f t="shared" si="0"/>
        <v>8495.3611306299808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0.13731034123242966</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11.137954142509097</v>
      </c>
      <c r="C18" s="23"/>
      <c r="D18" s="23">
        <f t="shared" ref="D18:M18" si="1">D14*D16</f>
        <v>24.651154965011298</v>
      </c>
      <c r="E18" s="23">
        <f t="shared" si="1"/>
        <v>54.398824426303527</v>
      </c>
      <c r="F18" s="23"/>
      <c r="G18" s="23">
        <f t="shared" si="1"/>
        <v>36115.896122302052</v>
      </c>
      <c r="H18" s="23">
        <f t="shared" si="1"/>
        <v>5010.6423553462164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5.1911029469001835E-5</v>
      </c>
      <c r="C50" s="313">
        <f t="shared" ref="C50:P50" si="2">SUM(C51:C52)</f>
        <v>0</v>
      </c>
      <c r="D50" s="313">
        <f t="shared" si="2"/>
        <v>0</v>
      </c>
      <c r="E50" s="313">
        <f t="shared" si="2"/>
        <v>0</v>
      </c>
      <c r="F50" s="313">
        <f t="shared" si="2"/>
        <v>0</v>
      </c>
      <c r="G50" s="313">
        <f t="shared" si="2"/>
        <v>4.8765259551246127E-3</v>
      </c>
      <c r="H50" s="313">
        <f t="shared" si="2"/>
        <v>0</v>
      </c>
      <c r="I50" s="313">
        <f t="shared" si="2"/>
        <v>0</v>
      </c>
      <c r="J50" s="313">
        <f t="shared" si="2"/>
        <v>0</v>
      </c>
      <c r="K50" s="313">
        <f t="shared" si="2"/>
        <v>0</v>
      </c>
      <c r="L50" s="313">
        <f t="shared" si="2"/>
        <v>0</v>
      </c>
      <c r="M50" s="313">
        <f t="shared" si="2"/>
        <v>2.8082448790829514E-4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5.1911029469001835E-5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4.8765259551246127E-3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2.8082448790829514E-4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14.419730408056065</v>
      </c>
      <c r="C54" s="21">
        <f t="shared" ref="C54:P54" si="3">(C50)*10^9/3600</f>
        <v>0</v>
      </c>
      <c r="D54" s="21">
        <f t="shared" si="3"/>
        <v>0</v>
      </c>
      <c r="E54" s="21">
        <f t="shared" si="3"/>
        <v>0</v>
      </c>
      <c r="F54" s="21">
        <f t="shared" si="3"/>
        <v>0</v>
      </c>
      <c r="G54" s="21">
        <f t="shared" si="3"/>
        <v>1354.5905430901703</v>
      </c>
      <c r="H54" s="21">
        <f t="shared" si="3"/>
        <v>0</v>
      </c>
      <c r="I54" s="21">
        <f t="shared" si="3"/>
        <v>0</v>
      </c>
      <c r="J54" s="21">
        <f t="shared" si="3"/>
        <v>0</v>
      </c>
      <c r="K54" s="21">
        <f t="shared" si="3"/>
        <v>0</v>
      </c>
      <c r="L54" s="21">
        <f t="shared" si="3"/>
        <v>0</v>
      </c>
      <c r="M54" s="21">
        <f t="shared" si="3"/>
        <v>78.006802196748652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0.13731034123242966</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1.9799781028098205</v>
      </c>
      <c r="C58" s="23">
        <f t="shared" ref="C58:P58" ca="1" si="4">C54*C56</f>
        <v>0</v>
      </c>
      <c r="D58" s="23">
        <f t="shared" si="4"/>
        <v>0</v>
      </c>
      <c r="E58" s="23">
        <f t="shared" si="4"/>
        <v>0</v>
      </c>
      <c r="F58" s="23">
        <f t="shared" si="4"/>
        <v>0</v>
      </c>
      <c r="G58" s="23">
        <f t="shared" si="4"/>
        <v>361.6756750050755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14296.319439613448</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5027.0025353481487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3006</v>
      </c>
      <c r="C8" s="538">
        <f>B49</f>
        <v>822.43502051983614</v>
      </c>
      <c r="D8" s="1004"/>
      <c r="E8" s="1004">
        <f>E49</f>
        <v>678.50889192886461</v>
      </c>
      <c r="F8" s="1005"/>
      <c r="G8" s="539"/>
      <c r="H8" s="1004">
        <f>I49</f>
        <v>0</v>
      </c>
      <c r="I8" s="1004">
        <f>G49+F49</f>
        <v>2035.5266757865938</v>
      </c>
      <c r="J8" s="1004">
        <f>H49+D49+C49</f>
        <v>0</v>
      </c>
      <c r="K8" s="1004"/>
      <c r="L8" s="1004"/>
      <c r="M8" s="1004"/>
      <c r="N8" s="540"/>
      <c r="O8" s="541">
        <f>C8*$C$12+D8*$D$12+E8*$E$12+F8*$F$12+G8*$G$12+H8*$H$12+I8*$I$12+J8*$J$12</f>
        <v>347.29374829001381</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22329.321974961596</v>
      </c>
      <c r="C10" s="551">
        <f t="shared" ref="C10:L10" si="0">SUM(C8:C9)</f>
        <v>822.43502051983614</v>
      </c>
      <c r="D10" s="551">
        <f t="shared" si="0"/>
        <v>0</v>
      </c>
      <c r="E10" s="551">
        <f t="shared" si="0"/>
        <v>678.50889192886461</v>
      </c>
      <c r="F10" s="551">
        <f t="shared" si="0"/>
        <v>0</v>
      </c>
      <c r="G10" s="551">
        <f t="shared" si="0"/>
        <v>0</v>
      </c>
      <c r="H10" s="551">
        <f t="shared" si="0"/>
        <v>0</v>
      </c>
      <c r="I10" s="551">
        <f t="shared" si="0"/>
        <v>2035.5266757865938</v>
      </c>
      <c r="J10" s="551">
        <f t="shared" si="0"/>
        <v>0</v>
      </c>
      <c r="K10" s="551">
        <f t="shared" si="0"/>
        <v>0</v>
      </c>
      <c r="L10" s="551">
        <f t="shared" si="0"/>
        <v>0</v>
      </c>
      <c r="M10" s="1007"/>
      <c r="N10" s="1007"/>
      <c r="O10" s="552">
        <f>SUM(O4:O9)</f>
        <v>347.29374829001381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3573</v>
      </c>
      <c r="C17" s="563">
        <f>B50</f>
        <v>977.56497948016431</v>
      </c>
      <c r="D17" s="564"/>
      <c r="E17" s="564">
        <f>E50</f>
        <v>806.49110807113539</v>
      </c>
      <c r="F17" s="1010"/>
      <c r="G17" s="565"/>
      <c r="H17" s="563">
        <f>I50</f>
        <v>0</v>
      </c>
      <c r="I17" s="564">
        <f>G50+F50</f>
        <v>2419.4733242134062</v>
      </c>
      <c r="J17" s="564">
        <f>H50+D50+C50</f>
        <v>0</v>
      </c>
      <c r="K17" s="564"/>
      <c r="L17" s="564"/>
      <c r="M17" s="564"/>
      <c r="N17" s="1011"/>
      <c r="O17" s="566">
        <f>C17*$C$22+E17*$E$22+H17*$H$22+I17*$I$22+J17*$J$22+D17*$D$22+F17*$F$22+G17*$G$22+K17*$K$22+L17*$L$22</f>
        <v>412.80125170998633</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3573</v>
      </c>
      <c r="C20" s="550">
        <f>SUM(C17:C19)</f>
        <v>977.56497948016431</v>
      </c>
      <c r="D20" s="550">
        <f t="shared" ref="D20:L20" si="1">SUM(D17:D19)</f>
        <v>0</v>
      </c>
      <c r="E20" s="550">
        <f t="shared" si="1"/>
        <v>806.49110807113539</v>
      </c>
      <c r="F20" s="550">
        <f t="shared" si="1"/>
        <v>0</v>
      </c>
      <c r="G20" s="550">
        <f t="shared" si="1"/>
        <v>0</v>
      </c>
      <c r="H20" s="550">
        <f t="shared" si="1"/>
        <v>0</v>
      </c>
      <c r="I20" s="550">
        <f t="shared" si="1"/>
        <v>2419.4733242134062</v>
      </c>
      <c r="J20" s="550">
        <f t="shared" si="1"/>
        <v>0</v>
      </c>
      <c r="K20" s="550">
        <f t="shared" si="1"/>
        <v>0</v>
      </c>
      <c r="L20" s="550">
        <f t="shared" si="1"/>
        <v>0</v>
      </c>
      <c r="M20" s="550"/>
      <c r="N20" s="550"/>
      <c r="O20" s="569">
        <f>SUM(O17:O19)</f>
        <v>412.80125170998633</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38.25">
      <c r="A28" s="573"/>
      <c r="B28" s="764">
        <v>46013</v>
      </c>
      <c r="C28" s="764">
        <v>9150</v>
      </c>
      <c r="D28" s="621" t="s">
        <v>902</v>
      </c>
      <c r="E28" s="620" t="s">
        <v>903</v>
      </c>
      <c r="F28" s="620" t="s">
        <v>904</v>
      </c>
      <c r="G28" s="620" t="s">
        <v>905</v>
      </c>
      <c r="H28" s="620" t="s">
        <v>906</v>
      </c>
      <c r="I28" s="620" t="s">
        <v>903</v>
      </c>
      <c r="J28" s="763">
        <v>40142</v>
      </c>
      <c r="K28" s="763">
        <v>40142</v>
      </c>
      <c r="L28" s="620" t="s">
        <v>907</v>
      </c>
      <c r="M28" s="620">
        <v>528</v>
      </c>
      <c r="N28" s="620">
        <v>2376</v>
      </c>
      <c r="O28" s="620">
        <v>2673</v>
      </c>
      <c r="P28" s="620">
        <v>0</v>
      </c>
      <c r="Q28" s="620">
        <v>0</v>
      </c>
      <c r="R28" s="620">
        <v>0</v>
      </c>
      <c r="S28" s="620">
        <v>1485</v>
      </c>
      <c r="T28" s="620">
        <v>4455</v>
      </c>
      <c r="U28" s="620">
        <v>0</v>
      </c>
      <c r="V28" s="620">
        <v>0</v>
      </c>
      <c r="W28" s="620">
        <v>0</v>
      </c>
      <c r="X28" s="620">
        <v>10</v>
      </c>
      <c r="Y28" s="620" t="s">
        <v>111</v>
      </c>
      <c r="Z28" s="622" t="s">
        <v>111</v>
      </c>
    </row>
    <row r="29" spans="1:26" s="574" customFormat="1" ht="25.5">
      <c r="A29" s="573"/>
      <c r="B29" s="764">
        <v>46013</v>
      </c>
      <c r="C29" s="764">
        <v>9150</v>
      </c>
      <c r="D29" s="621" t="s">
        <v>908</v>
      </c>
      <c r="E29" s="620" t="s">
        <v>909</v>
      </c>
      <c r="F29" s="620" t="s">
        <v>910</v>
      </c>
      <c r="G29" s="620" t="s">
        <v>905</v>
      </c>
      <c r="H29" s="620" t="s">
        <v>911</v>
      </c>
      <c r="I29" s="620" t="s">
        <v>909</v>
      </c>
      <c r="J29" s="763">
        <v>40991</v>
      </c>
      <c r="K29" s="763">
        <v>41091</v>
      </c>
      <c r="L29" s="620" t="s">
        <v>912</v>
      </c>
      <c r="M29" s="620">
        <v>140</v>
      </c>
      <c r="N29" s="620">
        <v>630.00000000000011</v>
      </c>
      <c r="O29" s="620">
        <v>900.00000000000023</v>
      </c>
      <c r="P29" s="620">
        <v>1800.0000000000005</v>
      </c>
      <c r="Q29" s="620">
        <v>0</v>
      </c>
      <c r="R29" s="620">
        <v>0</v>
      </c>
      <c r="S29" s="620">
        <v>0</v>
      </c>
      <c r="T29" s="620">
        <v>0</v>
      </c>
      <c r="U29" s="620">
        <v>0</v>
      </c>
      <c r="V29" s="620">
        <v>0</v>
      </c>
      <c r="W29" s="620">
        <v>0</v>
      </c>
      <c r="X29" s="620">
        <v>10</v>
      </c>
      <c r="Y29" s="620" t="s">
        <v>111</v>
      </c>
      <c r="Z29" s="622" t="s">
        <v>111</v>
      </c>
    </row>
    <row r="30" spans="1:26" s="558" customFormat="1">
      <c r="A30" s="576" t="s">
        <v>274</v>
      </c>
      <c r="B30" s="577"/>
      <c r="C30" s="577"/>
      <c r="D30" s="577"/>
      <c r="E30" s="577"/>
      <c r="F30" s="577"/>
      <c r="G30" s="577"/>
      <c r="H30" s="577"/>
      <c r="I30" s="577"/>
      <c r="J30" s="577"/>
      <c r="K30" s="577"/>
      <c r="L30" s="578"/>
      <c r="M30" s="578">
        <f>SUM(M28:M29)</f>
        <v>668</v>
      </c>
      <c r="N30" s="578">
        <f>SUM(N28:N29)</f>
        <v>3006</v>
      </c>
      <c r="O30" s="578">
        <f>SUM(O28:O29)</f>
        <v>3573</v>
      </c>
      <c r="P30" s="578">
        <f>SUM(P28:P29)</f>
        <v>1800.0000000000005</v>
      </c>
      <c r="Q30" s="578">
        <f>SUM(Q28:Q29)</f>
        <v>0</v>
      </c>
      <c r="R30" s="578">
        <f>SUM(R28:R29)</f>
        <v>0</v>
      </c>
      <c r="S30" s="578">
        <f>SUM(S28:S29)</f>
        <v>1485</v>
      </c>
      <c r="T30" s="578">
        <f>SUM(T28:T29)</f>
        <v>4455</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668</v>
      </c>
      <c r="N33" s="583">
        <f>SUMIF($Z$28:$Z$29,"landbouw",N28:N29)</f>
        <v>3006</v>
      </c>
      <c r="O33" s="583">
        <f>SUMIF($Z$28:$Z$29,"landbouw",O28:O29)</f>
        <v>3573</v>
      </c>
      <c r="P33" s="583">
        <f>SUMIF($Z$28:$Z$29,"landbouw",P28:P29)</f>
        <v>1800.0000000000005</v>
      </c>
      <c r="Q33" s="583">
        <f>SUMIF($Z$28:$Z$29,"landbouw",Q28:Q29)</f>
        <v>0</v>
      </c>
      <c r="R33" s="583">
        <f>SUMIF($Z$28:$Z$29,"landbouw",R28:R29)</f>
        <v>0</v>
      </c>
      <c r="S33" s="583">
        <f>SUMIF($Z$28:$Z$29,"landbouw",S28:S29)</f>
        <v>1485</v>
      </c>
      <c r="T33" s="583">
        <f>SUMIF($Z$28:$Z$29,"landbouw",T28:T29)</f>
        <v>4455</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0.54309165526675784</v>
      </c>
      <c r="C46" s="603">
        <f>IF(ISERROR(N30/(O30+N30)),0,N30/(N30+O30))</f>
        <v>0.45690834473324216</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822.43502051983614</v>
      </c>
      <c r="C49" s="612">
        <f t="shared" si="2"/>
        <v>0</v>
      </c>
      <c r="D49" s="612">
        <f t="shared" si="2"/>
        <v>0</v>
      </c>
      <c r="E49" s="612">
        <f t="shared" si="2"/>
        <v>678.50889192886461</v>
      </c>
      <c r="F49" s="612">
        <f t="shared" si="2"/>
        <v>2035.5266757865938</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977.56497948016431</v>
      </c>
      <c r="C50" s="615">
        <f t="shared" si="3"/>
        <v>0</v>
      </c>
      <c r="D50" s="615">
        <f t="shared" si="3"/>
        <v>0</v>
      </c>
      <c r="E50" s="615">
        <f t="shared" si="3"/>
        <v>806.49110807113539</v>
      </c>
      <c r="F50" s="615">
        <f t="shared" si="3"/>
        <v>2419.4733242134062</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2021-06-29T15:45:27Z</dcterms:modified>
</cp:coreProperties>
</file>