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Q88" i="14"/>
  <c r="P18" i="61" s="1"/>
  <c r="O8" i="18" l="1"/>
  <c r="O10" i="18" s="1"/>
  <c r="I76" i="14"/>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<sst xmlns="http://schemas.openxmlformats.org/spreadsheetml/2006/main" count="2476" uniqueCount="902">
  <si>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</si>
  <si>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</si>
  <si>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</si>
  <si>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</si>
  <si>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</si>
  <si>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</si>
  <si>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</si>
  <si>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</si>
  <si>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</si>
  <si>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</si>
  <si>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</si>
  <si>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</si>
  <si>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</si>
  <si>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</si>
  <si>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</si>
  <si>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</si>
  <si>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</si>
  <si>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</si>
  <si>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</si>
  <si>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</si>
  <si>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</si>
  <si>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</si>
  <si>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</si>
  <si>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</si>
  <si>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</si>
  <si>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</si>
  <si>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</si>
  <si>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</si>
  <si>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</si>
  <si>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</si>
  <si>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</si>
  <si>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</si>
  <si>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</si>
  <si>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</si>
  <si>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</si>
  <si>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</si>
  <si>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</si>
  <si>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</si>
  <si>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</si>
  <si>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</si>
  <si>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</si>
  <si>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</si>
  <si>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</si>
  <si>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</si>
  <si>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</si>
  <si>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</si>
  <si>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</si>
  <si>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</si>
  <si>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</si>
  <si>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</si>
  <si>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</si>
  <si>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</si>
  <si>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</si>
  <si>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</si>
  <si>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</si>
  <si>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</si>
  <si>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</si>
  <si>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</si>
  <si>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</si>
  <si>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</si>
  <si>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</si>
  <si>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</si>
  <si>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</si>
  <si>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</si>
  <si>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</si>
  <si>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</si>
  <si>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</si>
  <si>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</si>
  <si>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</si>
  <si>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</si>
  <si>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</si>
  <si>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</si>
  <si>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</si>
  <si>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</si>
  <si>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</si>
  <si>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</si>
  <si>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</si>
  <si>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</si>
  <si>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</si>
  <si>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</si>
  <si>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</si>
  <si>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</si>
  <si>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</si>
  <si>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</si>
  <si>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</si>
  <si>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</si>
  <si>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</si>
  <si>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</si>
  <si>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</si>
  <si>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</si>
  <si>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</si>
  <si>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</si>
  <si>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</si>
  <si>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</si>
  <si>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</si>
  <si>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</si>
  <si>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</si>
  <si>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</si>
  <si>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</si>
  <si>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</si>
  <si>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</si>
  <si>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</si>
  <si>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</si>
  <si>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</si>
  <si>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</si>
  <si>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</si>
  <si>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</si>
  <si>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</si>
  <si>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</si>
  <si>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</si>
  <si>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</si>
  <si>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</si>
  <si>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</si>
  <si>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</si>
  <si>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</si>
  <si>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</si>
  <si>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</si>
  <si>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</si>
  <si>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</si>
  <si>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</si>
  <si>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</si>
  <si>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</si>
  <si>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</si>
  <si>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</si>
  <si>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</si>
  <si>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</si>
  <si>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</si>
  <si>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</si>
  <si>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</si>
  <si>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</si>
  <si>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</si>
  <si>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</si>
  <si>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</si>
  <si>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</si>
  <si>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</si>
  <si>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</si>
  <si>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</si>
  <si>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</si>
  <si>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</si>
  <si>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</si>
  <si>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</si>
  <si>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</si>
  <si>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</si>
  <si>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</si>
  <si>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</si>
  <si>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</si>
  <si>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</si>
  <si>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</si>
  <si>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</si>
  <si>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</si>
  <si>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</si>
  <si>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</si>
  <si>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</si>
  <si>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</si>
  <si>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</si>
  <si>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</si>
  <si>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</si>
  <si>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</si>
  <si>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</si>
  <si>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</si>
  <si>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</si>
  <si>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</si>
  <si>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</si>
  <si>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</si>
  <si>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</si>
  <si>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</si>
  <si>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</si>
  <si>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</si>
  <si>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</si>
  <si>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</si>
  <si>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</si>
  <si>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</si>
  <si>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</si>
  <si>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</si>
  <si>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</si>
  <si>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</si>
  <si>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</si>
  <si>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</si>
  <si>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</si>
  <si>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</si>
  <si>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</si>
  <si>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</si>
  <si>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</si>
  <si>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</si>
  <si>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</si>
  <si>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</si>
  <si>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</si>
  <si>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</si>
  <si>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</si>
  <si>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</si>
  <si>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</si>
  <si>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</si>
  <si>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</si>
  <si>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</si>
  <si>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</si>
  <si>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</si>
  <si>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</si>
  <si>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</si>
  <si>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</si>
  <si>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</si>
  <si>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</si>
  <si>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</si>
  <si>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</si>
  <si>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</si>
  <si>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</si>
  <si>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</si>
  <si>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</si>
  <si>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</si>
  <si>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</si>
  <si>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</si>
  <si>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</si>
  <si>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</si>
  <si>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</si>
  <si>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</si>
  <si>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</si>
  <si>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</si>
  <si>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</si>
  <si>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</si>
  <si>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</si>
  <si>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</si>
  <si>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</si>
  <si>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</si>
  <si>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</si>
  <si>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</si>
  <si>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</si>
  <si>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</si>
  <si>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</si>
  <si>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</si>
  <si>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</si>
  <si>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</si>
  <si>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</si>
  <si>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</si>
  <si>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</si>
  <si>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</si>
  <si>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</si>
  <si>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</si>
  <si>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</si>
  <si>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</si>
  <si>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</si>
  <si>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</si>
  <si>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</si>
  <si>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</si>
  <si>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</si>
  <si>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</si>
  <si>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</si>
  <si>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</si>
  <si>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</si>
  <si>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</si>
  <si>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</si>
  <si>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</si>
  <si>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</si>
  <si>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</si>
  <si>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</si>
  <si>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</si>
  <si>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</si>
  <si>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</si>
  <si>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</si>
  <si>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</si>
  <si>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</si>
  <si>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</si>
  <si>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</si>
  <si>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</si>
  <si>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</si>
  <si>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</si>
  <si>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</si>
  <si>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</si>
  <si>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</si>
  <si>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</si>
  <si>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</si>
  <si>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</si>
  <si>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</si>
  <si>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</si>
  <si>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</si>
  <si>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</si>
  <si>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</si>
  <si>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</si>
  <si>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</si>
  <si>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</si>
  <si>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</si>
  <si>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</si>
  <si>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</si>
  <si>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</si>
  <si>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</si>
  <si>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</si>
  <si>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</si>
  <si>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</si>
  <si>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</si>
  <si>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</si>
  <si>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</si>
  <si>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</si>
  <si>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</si>
  <si>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</si>
  <si>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</si>
  <si>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</si>
  <si>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</si>
  <si>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</si>
  <si>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</si>
  <si>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</si>
  <si>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</si>
  <si>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</si>
  <si>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</si>
  <si>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</si>
  <si>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</si>
  <si>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</si>
  <si>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</si>
  <si>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</si>
  <si>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</si>
  <si>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</si>
  <si>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</si>
  <si>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</si>
  <si>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</si>
  <si>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</si>
  <si>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</si>
  <si>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</si>
  <si>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</si>
  <si>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</si>
  <si>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</si>
  <si>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</si>
  <si>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</si>
  <si>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</si>
  <si>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</si>
  <si>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</si>
  <si>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</si>
  <si>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</si>
  <si>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</si>
  <si>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</si>
  <si>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</si>
  <si>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</si>
  <si>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</si>
  <si>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</si>
  <si>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</si>
  <si>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</si>
  <si>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</si>
  <si>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</si>
  <si>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</si>
  <si>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</si>
  <si>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</si>
  <si>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</si>
  <si>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</si>
  <si>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</si>
  <si>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</si>
  <si>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</si>
  <si>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</si>
  <si>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</si>
  <si>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</si>
  <si>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</si>
  <si>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</si>
  <si>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</si>
  <si>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</si>
  <si>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</si>
  <si>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</si>
  <si>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</si>
  <si>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</si>
  <si>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</si>
  <si>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</si>
  <si>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</si>
  <si>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</si>
  <si>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</si>
  <si>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</si>
  <si>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</si>
  <si>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</si>
  <si>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</si>
  <si>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</si>
  <si>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</si>
  <si>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</si>
  <si>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</si>
  <si>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</si>
  <si>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</si>
  <si>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</si>
  <si>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</si>
  <si>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</si>
  <si>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</si>
  <si>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</si>
  <si>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</si>
  <si>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</si>
  <si>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</si>
  <si>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</si>
  <si>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</si>
  <si>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</si>
  <si>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</si>
  <si>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</si>
  <si>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</si>
  <si>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</si>
  <si>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</si>
  <si>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</si>
  <si>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</si>
  <si>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</si>
  <si>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</si>
  <si>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</si>
  <si>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</si>
  <si>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</si>
  <si>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</si>
  <si>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</si>
  <si>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</si>
  <si>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</si>
  <si>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</si>
  <si>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</si>
  <si>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</si>
  <si>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</si>
  <si>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</si>
  <si>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</si>
  <si>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</si>
  <si>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</si>
  <si>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</si>
  <si>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</si>
  <si>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</si>
  <si>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</si>
  <si>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</si>
  <si>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</si>
  <si>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</si>
  <si>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</si>
  <si>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</si>
  <si>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</si>
  <si>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</si>
  <si>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</si>
  <si>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</si>
  <si>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</si>
  <si>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</si>
  <si>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</si>
  <si>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</si>
  <si>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</si>
  <si>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</si>
  <si>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</si>
  <si>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</si>
  <si>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</si>
  <si>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</si>
  <si>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</si>
  <si>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</si>
  <si>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</si>
  <si>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</si>
  <si>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</si>
  <si>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</si>
  <si>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</si>
  <si>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</si>
  <si>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</si>
  <si>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</si>
  <si>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</si>
  <si>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</si>
  <si>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</si>
  <si>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</si>
  <si>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</si>
  <si>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</si>
  <si>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</si>
  <si>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</si>
  <si>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</si>
  <si>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</si>
  <si>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</si>
  <si>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</si>
  <si>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</si>
  <si>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</si>
  <si>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</si>
  <si>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</si>
  <si>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</si>
  <si>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</si>
  <si>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</si>
  <si>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</si>
  <si>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</si>
  <si>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</si>
  <si>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</si>
  <si>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</si>
  <si>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</si>
  <si>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</si>
  <si>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</si>
  <si>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</si>
  <si>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</si>
  <si>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</si>
  <si>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</si>
  <si>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</si>
  <si>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</si>
  <si>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</si>
  <si>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</si>
  <si>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</si>
  <si>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</si>
  <si>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</si>
  <si>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</si>
  <si>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</si>
  <si>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</si>
  <si>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</si>
  <si>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</si>
  <si>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</si>
  <si>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</si>
  <si>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</si>
  <si>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</si>
  <si>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</si>
  <si>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</si>
  <si>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</si>
  <si>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</si>
  <si>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</si>
  <si>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</si>
  <si>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</si>
  <si>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</si>
  <si>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</si>
  <si>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</si>
  <si>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</si>
  <si>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</si>
  <si>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</si>
  <si>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</si>
  <si>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</si>
  <si>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</si>
  <si>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</si>
  <si>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</si>
  <si>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</si>
  <si>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</si>
  <si>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</si>
  <si>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</si>
  <si>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</si>
  <si>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</si>
  <si>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</si>
  <si>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</si>
  <si>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</si>
  <si>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</si>
  <si>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</si>
  <si>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</si>
  <si>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</si>
  <si>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</si>
  <si>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</si>
  <si>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</si>
  <si>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</si>
  <si>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</si>
  <si>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</si>
  <si>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</si>
  <si>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</si>
  <si>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</si>
  <si>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</si>
  <si>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</si>
  <si>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</si>
  <si>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</si>
  <si>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</si>
  <si>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</si>
  <si>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</si>
  <si>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</si>
  <si>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</si>
  <si>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</si>
  <si>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</si>
  <si>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</si>
  <si>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</si>
  <si>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</si>
  <si>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</si>
  <si>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</si>
  <si>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</si>
  <si>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</si>
  <si>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</si>
  <si>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</si>
  <si>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</si>
  <si>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</si>
  <si>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</si>
  <si>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</si>
  <si>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</si>
  <si>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</si>
  <si>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</si>
  <si>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</si>
  <si>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</si>
  <si>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</si>
  <si>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</si>
  <si>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</si>
  <si>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</si>
  <si>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</si>
  <si>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</si>
  <si>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</si>
  <si>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</si>
  <si>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</si>
  <si>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</si>
  <si>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</si>
  <si>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</si>
  <si>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</si>
  <si>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</si>
  <si>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</si>
  <si>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</si>
  <si>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</si>
  <si>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</si>
  <si>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</si>
  <si>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</si>
  <si>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</si>
  <si>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</si>
  <si>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</si>
  <si>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</si>
  <si>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</si>
  <si>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</si>
  <si>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</si>
  <si>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</si>
  <si>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</si>
  <si>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</si>
  <si>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</si>
  <si>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</si>
  <si>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</si>
  <si>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</si>
  <si>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</si>
  <si>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</si>
  <si>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</si>
  <si>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</si>
  <si>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</si>
  <si>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</si>
  <si>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</si>
  <si>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</si>
  <si>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</si>
  <si>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</si>
  <si>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</si>
  <si>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</si>
  <si>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</si>
  <si>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</si>
  <si>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</si>
  <si>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</si>
  <si>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</si>
  <si>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</si>
  <si>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</si>
  <si>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</si>
  <si>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</si>
  <si>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</si>
  <si>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</si>
  <si>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</si>
  <si>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</si>
  <si>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</si>
  <si>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</si>
  <si>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</si>
  <si>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</si>
  <si>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</si>
  <si>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</si>
  <si>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</si>
  <si>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</si>
  <si>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</si>
  <si>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</si>
  <si>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</si>
  <si>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</si>
  <si>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</si>
  <si>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</si>
  <si>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</si>
  <si>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</si>
  <si>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</si>
  <si>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</si>
  <si>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</si>
  <si>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</si>
  <si>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</si>
  <si>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</si>
  <si>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</si>
  <si>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</si>
  <si>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</si>
  <si>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</si>
  <si>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</si>
  <si>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</si>
  <si>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</si>
  <si>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</si>
  <si>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</si>
  <si>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</si>
  <si>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</si>
  <si>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</si>
  <si>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</si>
  <si>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</si>
  <si>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</si>
  <si>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</si>
  <si>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</si>
  <si>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</si>
  <si>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</si>
  <si>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</si>
  <si>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</si>
  <si>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</si>
  <si>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</si>
  <si>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</si>
  <si>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</si>
  <si>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</si>
  <si>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</si>
  <si>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</si>
  <si>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</si>
  <si>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</si>
  <si>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</si>
  <si>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</si>
  <si>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</si>
  <si>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</si>
  <si>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</si>
  <si>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</si>
  <si>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</si>
  <si>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</si>
  <si>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</si>
  <si>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</si>
  <si>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</si>
  <si>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</si>
  <si>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</si>
  <si>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</si>
  <si>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</si>
  <si>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</si>
  <si>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</si>
  <si>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</si>
  <si>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</si>
  <si>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</si>
  <si>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</si>
  <si>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</si>
  <si>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</si>
  <si>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</si>
  <si>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</si>
  <si>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</si>
  <si>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</si>
  <si>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</si>
  <si>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</si>
  <si>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</si>
  <si>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</si>
  <si>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</si>
  <si>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</si>
  <si>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</si>
  <si>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</si>
  <si>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</si>
  <si>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</si>
  <si>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</si>
  <si>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</si>
  <si>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</si>
  <si>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</si>
  <si>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</si>
  <si>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</si>
  <si>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</si>
  <si>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</si>
  <si>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</si>
  <si>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</si>
  <si>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</si>
  <si>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</si>
  <si>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</si>
  <si>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</si>
  <si>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</si>
  <si>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</si>
  <si>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</si>
  <si>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</si>
  <si>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</si>
  <si>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</si>
  <si>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</si>
  <si>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</si>
  <si>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</si>
  <si>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</si>
  <si>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</si>
  <si>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</si>
  <si>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</si>
  <si>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</si>
  <si>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</si>
  <si>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</si>
  <si>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</si>
  <si>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</si>
  <si>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</si>
  <si>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</si>
  <si>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</si>
  <si>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</si>
  <si>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</si>
  <si>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</si>
  <si>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</si>
  <si>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</si>
  <si>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</si>
  <si>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</si>
  <si>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</si>
  <si>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</si>
  <si>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</si>
  <si>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</si>
  <si>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</si>
  <si>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</si>
  <si>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</si>
  <si>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</si>
  <si>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</si>
  <si>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</si>
  <si>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</si>
  <si>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</si>
  <si>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</si>
  <si>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</si>
  <si>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</si>
  <si>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</si>
  <si>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</si>
  <si>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</si>
  <si>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</si>
  <si>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</si>
  <si>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</si>
  <si>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</si>
  <si>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</si>
  <si>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</si>
  <si>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</si>
  <si>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</si>
  <si>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</si>
  <si>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</si>
  <si>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</si>
  <si>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</si>
  <si>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</si>
  <si>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</si>
  <si>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</si>
  <si>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</si>
  <si>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</si>
  <si>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</si>
  <si>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</si>
  <si>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</si>
  <si>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</si>
  <si>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</si>
  <si>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</si>
  <si>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</si>
  <si>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</si>
  <si>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</si>
  <si>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</si>
  <si>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</si>
  <si>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</si>
  <si>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</si>
  <si>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</si>
  <si>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</si>
  <si>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</si>
  <si>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</si>
  <si>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</si>
  <si>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</si>
  <si>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</si>
  <si>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</si>
  <si>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</si>
  <si>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</si>
  <si>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</si>
  <si>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</si>
  <si>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</si>
  <si>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</si>
  <si>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</si>
  <si>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</si>
  <si>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</si>
  <si>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</si>
  <si>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</si>
  <si>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</si>
  <si>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</si>
  <si>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</si>
  <si>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</si>
  <si>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</si>
  <si>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</si>
  <si>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</si>
  <si>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</si>
  <si>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</si>
  <si>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</si>
  <si>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</si>
  <si>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</si>
  <si>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</si>
  <si>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</si>
  <si>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</si>
  <si>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</si>
  <si>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</si>
  <si>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</si>
  <si>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</si>
  <si>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</si>
  <si>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</si>
  <si>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</si>
  <si>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</si>
  <si>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</si>
  <si>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</si>
  <si>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</si>
  <si>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</si>
  <si>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</si>
  <si>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</si>
  <si>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</si>
  <si>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</si>
  <si>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</si>
  <si>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</si>
  <si>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</si>
  <si>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</si>
  <si>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</si>
  <si>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</si>
  <si>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</si>
  <si>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</si>
  <si>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</si>
  <si>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</si>
  <si>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</si>
  <si>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</si>
  <si>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</si>
  <si>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</si>
  <si>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</si>
  <si>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</si>
  <si>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</si>
  <si>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</si>
  <si>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</si>
  <si>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</si>
  <si>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</si>
  <si>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</si>
  <si>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</si>
  <si>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</si>
  <si>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</si>
  <si>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</si>
  <si>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</si>
  <si>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</si>
  <si>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</si>
  <si>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</si>
  <si>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</si>
  <si>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</si>
  <si>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</si>
  <si>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</si>
  <si>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</si>
  <si>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</si>
  <si>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</si>
  <si>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</si>
  <si>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</si>
  <si>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</si>
  <si>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</si>
  <si>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</si>
  <si>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</si>
  <si>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</si>
  <si>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</si>
  <si>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</si>
  <si>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</si>
  <si>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</si>
  <si>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</si>
  <si>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</si>
  <si>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</si>
  <si>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</si>
  <si>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</si>
  <si>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</si>
  <si>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</si>
  <si>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</si>
  <si>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</si>
  <si>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</si>
  <si>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45062</t>
  </si>
  <si>
    <t>HOREBEKE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</si>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</sst>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16993.792271894803</c:v>
                </c:pt>
                <c:pt idx="1">
                  <c:v>5118.7917382760206</c:v>
                </c:pt>
                <c:pt idx="2">
                  <c:v>129.53399999999999</c:v>
                </c:pt>
                <c:pt idx="3">
                  <c:v>2013.5696925024279</c:v>
                </c:pt>
                <c:pt idx="4">
                  <c:v>419.51099621469552</c:v>
                </c:pt>
                <c:pt idx="5">
                  <c:v>9820.434825847824</c:v>
                </c:pt>
                <c:pt idx="6">
                  <c:v>186.80711793608231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16993.792271894803</c:v>
                </c:pt>
                <c:pt idx="1">
                  <c:v>5118.7917382760206</c:v>
                </c:pt>
                <c:pt idx="2">
                  <c:v>129.53399999999999</c:v>
                </c:pt>
                <c:pt idx="3">
                  <c:v>2013.5696925024279</c:v>
                </c:pt>
                <c:pt idx="4">
                  <c:v>419.51099621469552</c:v>
                </c:pt>
                <c:pt idx="5">
                  <c:v>9820.434825847824</c:v>
                </c:pt>
                <c:pt idx="6">
                  <c:v>186.80711793608231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3672.6946689477231</c:v>
                </c:pt>
                <c:pt idx="2">
                  <c:v>1021.3421737587222</c:v>
                </c:pt>
                <c:pt idx="3">
                  <c:v>24.998141313595337</c:v>
                </c:pt>
                <c:pt idx="4">
                  <c:v>513.13770359539672</c:v>
                </c:pt>
                <c:pt idx="5">
                  <c:v>84.995141429870387</c:v>
                </c:pt>
                <c:pt idx="6">
                  <c:v>2457.038299861118</c:v>
                </c:pt>
                <c:pt idx="7">
                  <c:v>47.05088652739343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3672.6946689477231</c:v>
                </c:pt>
                <c:pt idx="2">
                  <c:v>1021.3421737587222</c:v>
                </c:pt>
                <c:pt idx="3">
                  <c:v>24.998141313595337</c:v>
                </c:pt>
                <c:pt idx="4">
                  <c:v>513.13770359539672</c:v>
                </c:pt>
                <c:pt idx="5">
                  <c:v>84.995141429870387</c:v>
                </c:pt>
                <c:pt idx="6">
                  <c:v>2457.038299861118</c:v>
                </c:pt>
                <c:pt idx="7">
                  <c:v>47.05088652739343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45062</v>
      </c>
      <c r="B6" s="384"/>
      <c r="C6" s="385"/>
    </row>
    <row r="7" spans="1:7" s="382" customFormat="1" ht="15.75" customHeight="1">
      <c r="A7" s="386" t="str">
        <f>txtMunicipality</f>
        <v>HOREBEKE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2583.9987279755692</v>
      </c>
      <c r="D10" s="973">
        <f ca="1">tertiair!C16</f>
        <v>0</v>
      </c>
      <c r="E10" s="973">
        <f ca="1">tertiair!D16</f>
        <v>2061.6668127373796</v>
      </c>
      <c r="F10" s="973">
        <f>tertiair!E16</f>
        <v>59.316210633108504</v>
      </c>
      <c r="G10" s="973">
        <f ca="1">tertiair!F16</f>
        <v>440.99068253158396</v>
      </c>
      <c r="H10" s="973">
        <f>tertiair!G16</f>
        <v>0</v>
      </c>
      <c r="I10" s="973">
        <f>tertiair!H16</f>
        <v>0</v>
      </c>
      <c r="J10" s="973">
        <f>tertiair!I16</f>
        <v>0</v>
      </c>
      <c r="K10" s="973">
        <f>tertiair!J16</f>
        <v>2.50568045637364E-3</v>
      </c>
      <c r="L10" s="973">
        <f>tertiair!K16</f>
        <v>0</v>
      </c>
      <c r="M10" s="973">
        <f ca="1">tertiair!L16</f>
        <v>0</v>
      </c>
      <c r="N10" s="973">
        <f>tertiair!M16</f>
        <v>0</v>
      </c>
      <c r="O10" s="973">
        <f ca="1">tertiair!N16</f>
        <v>102.35079871792392</v>
      </c>
      <c r="P10" s="973">
        <f>tertiair!O16</f>
        <v>0</v>
      </c>
      <c r="Q10" s="974">
        <f>tertiair!P16</f>
        <v>0</v>
      </c>
      <c r="R10" s="668">
        <f ca="1">SUM(C10:Q10)</f>
        <v>5248.3257382760212</v>
      </c>
      <c r="S10" s="67"/>
    </row>
    <row r="11" spans="1:19" s="441" customFormat="1">
      <c r="A11" s="777" t="s">
        <v>219</v>
      </c>
      <c r="B11" s="782"/>
      <c r="C11" s="973">
        <f>huishoudens!B8</f>
        <v>3795.9098039435094</v>
      </c>
      <c r="D11" s="973">
        <f>huishoudens!C8</f>
        <v>0</v>
      </c>
      <c r="E11" s="973">
        <f>huishoudens!D8</f>
        <v>3094.8269474375761</v>
      </c>
      <c r="F11" s="973">
        <f>huishoudens!E8</f>
        <v>329.07902090339815</v>
      </c>
      <c r="G11" s="973">
        <f>huishoudens!F8</f>
        <v>8337.3872867191585</v>
      </c>
      <c r="H11" s="973">
        <f>huishoudens!G8</f>
        <v>0</v>
      </c>
      <c r="I11" s="973">
        <f>huishoudens!H8</f>
        <v>0</v>
      </c>
      <c r="J11" s="973">
        <f>huishoudens!I8</f>
        <v>0</v>
      </c>
      <c r="K11" s="973">
        <f>huishoudens!J8</f>
        <v>40.118572242186545</v>
      </c>
      <c r="L11" s="973">
        <f>huishoudens!K8</f>
        <v>0</v>
      </c>
      <c r="M11" s="973">
        <f>huishoudens!L8</f>
        <v>0</v>
      </c>
      <c r="N11" s="973">
        <f>huishoudens!M8</f>
        <v>0</v>
      </c>
      <c r="O11" s="973">
        <f>huishoudens!N8</f>
        <v>1234.2206406489718</v>
      </c>
      <c r="P11" s="973">
        <f>huishoudens!O8</f>
        <v>85.983333333333334</v>
      </c>
      <c r="Q11" s="974">
        <f>huishoudens!P8</f>
        <v>76.266666666666666</v>
      </c>
      <c r="R11" s="668">
        <f>SUM(C11:Q11)</f>
        <v>16993.792271894803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176.92008905447591</v>
      </c>
      <c r="D13" s="973">
        <f>industrie!C18</f>
        <v>0</v>
      </c>
      <c r="E13" s="973">
        <f>industrie!D18</f>
        <v>150.51914680365499</v>
      </c>
      <c r="F13" s="973">
        <f>industrie!E18</f>
        <v>19.341728745339243</v>
      </c>
      <c r="G13" s="973">
        <f>industrie!F18</f>
        <v>59.489518155236524</v>
      </c>
      <c r="H13" s="973">
        <f>industrie!G18</f>
        <v>0</v>
      </c>
      <c r="I13" s="973">
        <f>industrie!H18</f>
        <v>0</v>
      </c>
      <c r="J13" s="973">
        <f>industrie!I18</f>
        <v>0</v>
      </c>
      <c r="K13" s="973">
        <f>industrie!J18</f>
        <v>0.48883086640562312</v>
      </c>
      <c r="L13" s="973">
        <f>industrie!K18</f>
        <v>0</v>
      </c>
      <c r="M13" s="973">
        <f>industrie!L18</f>
        <v>0</v>
      </c>
      <c r="N13" s="973">
        <f>industrie!M18</f>
        <v>0</v>
      </c>
      <c r="O13" s="973">
        <f>industrie!N18</f>
        <v>12.751682589583204</v>
      </c>
      <c r="P13" s="973">
        <f>industrie!O18</f>
        <v>0</v>
      </c>
      <c r="Q13" s="974">
        <f>industrie!P18</f>
        <v>0</v>
      </c>
      <c r="R13" s="668">
        <f>SUM(C13:Q13)</f>
        <v>419.51099621469552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6556.8286209735543</v>
      </c>
      <c r="D16" s="700">
        <f t="shared" ref="D16:R16" ca="1" si="0">SUM(D9:D15)</f>
        <v>0</v>
      </c>
      <c r="E16" s="700">
        <f t="shared" ca="1" si="0"/>
        <v>5307.0129069786099</v>
      </c>
      <c r="F16" s="700">
        <f t="shared" si="0"/>
        <v>407.73696028184588</v>
      </c>
      <c r="G16" s="700">
        <f t="shared" ca="1" si="0"/>
        <v>8837.8674874059798</v>
      </c>
      <c r="H16" s="700">
        <f t="shared" si="0"/>
        <v>0</v>
      </c>
      <c r="I16" s="700">
        <f t="shared" si="0"/>
        <v>0</v>
      </c>
      <c r="J16" s="700">
        <f t="shared" si="0"/>
        <v>0</v>
      </c>
      <c r="K16" s="700">
        <f t="shared" si="0"/>
        <v>40.609908789048539</v>
      </c>
      <c r="L16" s="700">
        <f t="shared" si="0"/>
        <v>0</v>
      </c>
      <c r="M16" s="700">
        <f t="shared" ca="1" si="0"/>
        <v>0</v>
      </c>
      <c r="N16" s="700">
        <f t="shared" si="0"/>
        <v>0</v>
      </c>
      <c r="O16" s="700">
        <f t="shared" ca="1" si="0"/>
        <v>1349.3231219564789</v>
      </c>
      <c r="P16" s="700">
        <f t="shared" si="0"/>
        <v>85.983333333333334</v>
      </c>
      <c r="Q16" s="700">
        <f t="shared" si="0"/>
        <v>76.266666666666666</v>
      </c>
      <c r="R16" s="700">
        <f t="shared" ca="1" si="0"/>
        <v>22661.629006385519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1.8615594274521639</v>
      </c>
      <c r="D19" s="973">
        <f>transport!C54</f>
        <v>0</v>
      </c>
      <c r="E19" s="973">
        <f>transport!D54</f>
        <v>0</v>
      </c>
      <c r="F19" s="973">
        <f>transport!E54</f>
        <v>0</v>
      </c>
      <c r="G19" s="973">
        <f>transport!F54</f>
        <v>0</v>
      </c>
      <c r="H19" s="973">
        <f>transport!G54</f>
        <v>174.87503056355672</v>
      </c>
      <c r="I19" s="973">
        <f>transport!H54</f>
        <v>0</v>
      </c>
      <c r="J19" s="973">
        <f>transport!I54</f>
        <v>0</v>
      </c>
      <c r="K19" s="973">
        <f>transport!J54</f>
        <v>0</v>
      </c>
      <c r="L19" s="973">
        <f>transport!K54</f>
        <v>0</v>
      </c>
      <c r="M19" s="973">
        <f>transport!L54</f>
        <v>0</v>
      </c>
      <c r="N19" s="973">
        <f>transport!M54</f>
        <v>10.070527945073424</v>
      </c>
      <c r="O19" s="973">
        <f>transport!N54</f>
        <v>0</v>
      </c>
      <c r="P19" s="973">
        <f>transport!O54</f>
        <v>0</v>
      </c>
      <c r="Q19" s="974">
        <f>transport!P54</f>
        <v>0</v>
      </c>
      <c r="R19" s="668">
        <f>SUM(C19:Q19)</f>
        <v>186.80711793608231</v>
      </c>
      <c r="S19" s="67"/>
    </row>
    <row r="20" spans="1:19" s="441" customFormat="1">
      <c r="A20" s="777" t="s">
        <v>301</v>
      </c>
      <c r="B20" s="782"/>
      <c r="C20" s="973">
        <f>transport!B14</f>
        <v>6.2639956618681492</v>
      </c>
      <c r="D20" s="973">
        <f>transport!C14</f>
        <v>0</v>
      </c>
      <c r="E20" s="973">
        <f>transport!D14</f>
        <v>10.980474400413581</v>
      </c>
      <c r="F20" s="973">
        <f>transport!E14</f>
        <v>19.133585215345978</v>
      </c>
      <c r="G20" s="973">
        <f>transport!F14</f>
        <v>0</v>
      </c>
      <c r="H20" s="973">
        <f>transport!G14</f>
        <v>7526.5616067416877</v>
      </c>
      <c r="I20" s="973">
        <f>transport!H14</f>
        <v>1765.7675217108094</v>
      </c>
      <c r="J20" s="973">
        <f>transport!I14</f>
        <v>0</v>
      </c>
      <c r="K20" s="973">
        <f>transport!J14</f>
        <v>0</v>
      </c>
      <c r="L20" s="973">
        <f>transport!K14</f>
        <v>0</v>
      </c>
      <c r="M20" s="973">
        <f>transport!L14</f>
        <v>0</v>
      </c>
      <c r="N20" s="973">
        <f>transport!M14</f>
        <v>491.72764211769874</v>
      </c>
      <c r="O20" s="973">
        <f>transport!N14</f>
        <v>0</v>
      </c>
      <c r="P20" s="973">
        <f>transport!O14</f>
        <v>0</v>
      </c>
      <c r="Q20" s="974">
        <f>transport!P14</f>
        <v>0</v>
      </c>
      <c r="R20" s="668">
        <f>SUM(C20:Q20)</f>
        <v>9820.434825847824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8.1255550893203132</v>
      </c>
      <c r="D22" s="780">
        <f t="shared" ref="D22:R22" si="1">SUM(D18:D21)</f>
        <v>0</v>
      </c>
      <c r="E22" s="780">
        <f t="shared" si="1"/>
        <v>10.980474400413581</v>
      </c>
      <c r="F22" s="780">
        <f t="shared" si="1"/>
        <v>19.133585215345978</v>
      </c>
      <c r="G22" s="780">
        <f t="shared" si="1"/>
        <v>0</v>
      </c>
      <c r="H22" s="780">
        <f t="shared" si="1"/>
        <v>7701.4366373052444</v>
      </c>
      <c r="I22" s="780">
        <f t="shared" si="1"/>
        <v>1765.7675217108094</v>
      </c>
      <c r="J22" s="780">
        <f t="shared" si="1"/>
        <v>0</v>
      </c>
      <c r="K22" s="780">
        <f t="shared" si="1"/>
        <v>0</v>
      </c>
      <c r="L22" s="780">
        <f t="shared" si="1"/>
        <v>0</v>
      </c>
      <c r="M22" s="780">
        <f t="shared" si="1"/>
        <v>0</v>
      </c>
      <c r="N22" s="780">
        <f t="shared" si="1"/>
        <v>501.79817006277216</v>
      </c>
      <c r="O22" s="780">
        <f t="shared" si="1"/>
        <v>0</v>
      </c>
      <c r="P22" s="780">
        <f t="shared" si="1"/>
        <v>0</v>
      </c>
      <c r="Q22" s="780">
        <f t="shared" si="1"/>
        <v>0</v>
      </c>
      <c r="R22" s="780">
        <f t="shared" si="1"/>
        <v>10007.241943783907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373.94076318299062</v>
      </c>
      <c r="D24" s="973">
        <f>+landbouw!C8</f>
        <v>0</v>
      </c>
      <c r="E24" s="973">
        <f>+landbouw!D8</f>
        <v>16.644669305069158</v>
      </c>
      <c r="F24" s="973">
        <f>+landbouw!E8</f>
        <v>10.991261176867162</v>
      </c>
      <c r="G24" s="973">
        <f>+landbouw!F8</f>
        <v>1557.8170127220988</v>
      </c>
      <c r="H24" s="973">
        <f>+landbouw!G8</f>
        <v>0</v>
      </c>
      <c r="I24" s="973">
        <f>+landbouw!H8</f>
        <v>0</v>
      </c>
      <c r="J24" s="973">
        <f>+landbouw!I8</f>
        <v>0</v>
      </c>
      <c r="K24" s="973">
        <f>+landbouw!J8</f>
        <v>54.175986115402104</v>
      </c>
      <c r="L24" s="973">
        <f>+landbouw!K8</f>
        <v>0</v>
      </c>
      <c r="M24" s="973">
        <f>+landbouw!L8</f>
        <v>0</v>
      </c>
      <c r="N24" s="973">
        <f>+landbouw!M8</f>
        <v>0</v>
      </c>
      <c r="O24" s="973">
        <f>+landbouw!N8</f>
        <v>0</v>
      </c>
      <c r="P24" s="973">
        <f>+landbouw!O8</f>
        <v>0</v>
      </c>
      <c r="Q24" s="974">
        <f>+landbouw!P8</f>
        <v>0</v>
      </c>
      <c r="R24" s="668">
        <f>SUM(C24:Q24)</f>
        <v>2013.5696925024279</v>
      </c>
      <c r="S24" s="67"/>
    </row>
    <row r="25" spans="1:19" s="441" customFormat="1" ht="15" thickBot="1">
      <c r="A25" s="799" t="s">
        <v>808</v>
      </c>
      <c r="B25" s="976"/>
      <c r="C25" s="977">
        <f>IF(Onbekend_ele_kWh="---",0,Onbekend_ele_kWh)/1000+IF(REST_rest_ele_kWh="---",0,REST_rest_ele_kWh)/1000</f>
        <v>113.934147232163</v>
      </c>
      <c r="D25" s="977"/>
      <c r="E25" s="977">
        <f>IF(onbekend_gas_kWh="---",0,onbekend_gas_kWh)/1000+IF(REST_rest_gas_kWh="---",0,REST_rest_gas_kWh)/1000</f>
        <v>119.67488849510799</v>
      </c>
      <c r="F25" s="977"/>
      <c r="G25" s="977"/>
      <c r="H25" s="977"/>
      <c r="I25" s="977"/>
      <c r="J25" s="977"/>
      <c r="K25" s="977"/>
      <c r="L25" s="977"/>
      <c r="M25" s="977"/>
      <c r="N25" s="977"/>
      <c r="O25" s="977"/>
      <c r="P25" s="977"/>
      <c r="Q25" s="978"/>
      <c r="R25" s="668">
        <f>SUM(C25:Q25)</f>
        <v>233.60903572727099</v>
      </c>
      <c r="S25" s="67"/>
    </row>
    <row r="26" spans="1:19" s="441" customFormat="1" ht="15.75" thickBot="1">
      <c r="A26" s="673" t="s">
        <v>809</v>
      </c>
      <c r="B26" s="785"/>
      <c r="C26" s="780">
        <f>SUM(C24:C25)</f>
        <v>487.87491041515364</v>
      </c>
      <c r="D26" s="780">
        <f t="shared" ref="D26:R26" si="2">SUM(D24:D25)</f>
        <v>0</v>
      </c>
      <c r="E26" s="780">
        <f t="shared" si="2"/>
        <v>136.31955780017717</v>
      </c>
      <c r="F26" s="780">
        <f t="shared" si="2"/>
        <v>10.991261176867162</v>
      </c>
      <c r="G26" s="780">
        <f t="shared" si="2"/>
        <v>1557.8170127220988</v>
      </c>
      <c r="H26" s="780">
        <f t="shared" si="2"/>
        <v>0</v>
      </c>
      <c r="I26" s="780">
        <f t="shared" si="2"/>
        <v>0</v>
      </c>
      <c r="J26" s="780">
        <f t="shared" si="2"/>
        <v>0</v>
      </c>
      <c r="K26" s="780">
        <f t="shared" si="2"/>
        <v>54.175986115402104</v>
      </c>
      <c r="L26" s="780">
        <f t="shared" si="2"/>
        <v>0</v>
      </c>
      <c r="M26" s="780">
        <f t="shared" si="2"/>
        <v>0</v>
      </c>
      <c r="N26" s="780">
        <f t="shared" si="2"/>
        <v>0</v>
      </c>
      <c r="O26" s="780">
        <f t="shared" si="2"/>
        <v>0</v>
      </c>
      <c r="P26" s="780">
        <f t="shared" si="2"/>
        <v>0</v>
      </c>
      <c r="Q26" s="780">
        <f t="shared" si="2"/>
        <v>0</v>
      </c>
      <c r="R26" s="780">
        <f t="shared" si="2"/>
        <v>2247.1787282296987</v>
      </c>
      <c r="S26" s="67"/>
    </row>
    <row r="27" spans="1:19" s="441" customFormat="1" ht="17.25" thickTop="1" thickBot="1">
      <c r="A27" s="674" t="s">
        <v>115</v>
      </c>
      <c r="B27" s="773"/>
      <c r="C27" s="675">
        <f ca="1">C22+C16+C26</f>
        <v>7052.8290864780283</v>
      </c>
      <c r="D27" s="675">
        <f t="shared" ref="D27:R27" ca="1" si="3">D22+D16+D26</f>
        <v>0</v>
      </c>
      <c r="E27" s="675">
        <f t="shared" ca="1" si="3"/>
        <v>5454.3129391791999</v>
      </c>
      <c r="F27" s="675">
        <f t="shared" si="3"/>
        <v>437.86180667405904</v>
      </c>
      <c r="G27" s="675">
        <f t="shared" ca="1" si="3"/>
        <v>10395.684500128078</v>
      </c>
      <c r="H27" s="675">
        <f t="shared" si="3"/>
        <v>7701.4366373052444</v>
      </c>
      <c r="I27" s="675">
        <f t="shared" si="3"/>
        <v>1765.7675217108094</v>
      </c>
      <c r="J27" s="675">
        <f t="shared" si="3"/>
        <v>0</v>
      </c>
      <c r="K27" s="675">
        <f t="shared" si="3"/>
        <v>94.785894904450643</v>
      </c>
      <c r="L27" s="675">
        <f t="shared" si="3"/>
        <v>0</v>
      </c>
      <c r="M27" s="675">
        <f t="shared" ca="1" si="3"/>
        <v>0</v>
      </c>
      <c r="N27" s="675">
        <f t="shared" si="3"/>
        <v>501.79817006277216</v>
      </c>
      <c r="O27" s="675">
        <f t="shared" ca="1" si="3"/>
        <v>1349.3231219564789</v>
      </c>
      <c r="P27" s="675">
        <f t="shared" si="3"/>
        <v>85.983333333333334</v>
      </c>
      <c r="Q27" s="675">
        <f t="shared" si="3"/>
        <v>76.266666666666666</v>
      </c>
      <c r="R27" s="675">
        <f t="shared" ca="1" si="3"/>
        <v>34916.049678399126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498.67343983883671</v>
      </c>
      <c r="D40" s="973">
        <f ca="1">tertiair!C20</f>
        <v>0</v>
      </c>
      <c r="E40" s="973">
        <f ca="1">tertiair!D20</f>
        <v>416.45669617295073</v>
      </c>
      <c r="F40" s="973">
        <f>tertiair!E20</f>
        <v>13.46477981371563</v>
      </c>
      <c r="G40" s="973">
        <f ca="1">tertiair!F20</f>
        <v>117.74451223593292</v>
      </c>
      <c r="H40" s="973">
        <f>tertiair!G20</f>
        <v>0</v>
      </c>
      <c r="I40" s="973">
        <f>tertiair!H20</f>
        <v>0</v>
      </c>
      <c r="J40" s="973">
        <f>tertiair!I20</f>
        <v>0</v>
      </c>
      <c r="K40" s="973">
        <f>tertiair!J20</f>
        <v>8.8701088155626856E-4</v>
      </c>
      <c r="L40" s="973">
        <f>tertiair!K20</f>
        <v>0</v>
      </c>
      <c r="M40" s="973">
        <f ca="1">tertiair!L20</f>
        <v>0</v>
      </c>
      <c r="N40" s="973">
        <f>tertiair!M20</f>
        <v>0</v>
      </c>
      <c r="O40" s="973">
        <f ca="1">tertiair!N20</f>
        <v>0</v>
      </c>
      <c r="P40" s="973">
        <f>tertiair!O20</f>
        <v>0</v>
      </c>
      <c r="Q40" s="742">
        <f>tertiair!P20</f>
        <v>0</v>
      </c>
      <c r="R40" s="818">
        <f t="shared" ca="1" si="4"/>
        <v>1046.3403150723177</v>
      </c>
    </row>
    <row r="41" spans="1:18">
      <c r="A41" s="790" t="s">
        <v>219</v>
      </c>
      <c r="B41" s="797"/>
      <c r="C41" s="973">
        <f ca="1">huishoudens!B12</f>
        <v>732.55430769251177</v>
      </c>
      <c r="D41" s="973">
        <f ca="1">huishoudens!C12</f>
        <v>0</v>
      </c>
      <c r="E41" s="973">
        <f>huishoudens!D12</f>
        <v>625.15504338239043</v>
      </c>
      <c r="F41" s="973">
        <f>huishoudens!E12</f>
        <v>74.700937745071386</v>
      </c>
      <c r="G41" s="973">
        <f>huishoudens!F12</f>
        <v>2226.0824055540156</v>
      </c>
      <c r="H41" s="973">
        <f>huishoudens!G12</f>
        <v>0</v>
      </c>
      <c r="I41" s="973">
        <f>huishoudens!H12</f>
        <v>0</v>
      </c>
      <c r="J41" s="973">
        <f>huishoudens!I12</f>
        <v>0</v>
      </c>
      <c r="K41" s="973">
        <f>huishoudens!J12</f>
        <v>14.201974573734036</v>
      </c>
      <c r="L41" s="973">
        <f>huishoudens!K12</f>
        <v>0</v>
      </c>
      <c r="M41" s="973">
        <f>huishoudens!L12</f>
        <v>0</v>
      </c>
      <c r="N41" s="973">
        <f>huishoudens!M12</f>
        <v>0</v>
      </c>
      <c r="O41" s="973">
        <f>huishoudens!N12</f>
        <v>0</v>
      </c>
      <c r="P41" s="973">
        <f>huishoudens!O12</f>
        <v>0</v>
      </c>
      <c r="Q41" s="742">
        <f>huishoudens!P12</f>
        <v>0</v>
      </c>
      <c r="R41" s="818">
        <f t="shared" ca="1" si="4"/>
        <v>3672.6946689477231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34.142953876184329</v>
      </c>
      <c r="D43" s="973">
        <f ca="1">industrie!C22</f>
        <v>0</v>
      </c>
      <c r="E43" s="973">
        <f>industrie!D22</f>
        <v>30.404867654338311</v>
      </c>
      <c r="F43" s="973">
        <f>industrie!E22</f>
        <v>4.3905724251920084</v>
      </c>
      <c r="G43" s="973">
        <f>industrie!F22</f>
        <v>15.883701347448152</v>
      </c>
      <c r="H43" s="973">
        <f>industrie!G22</f>
        <v>0</v>
      </c>
      <c r="I43" s="973">
        <f>industrie!H22</f>
        <v>0</v>
      </c>
      <c r="J43" s="973">
        <f>industrie!I22</f>
        <v>0</v>
      </c>
      <c r="K43" s="973">
        <f>industrie!J22</f>
        <v>0.17304612670759056</v>
      </c>
      <c r="L43" s="973">
        <f>industrie!K22</f>
        <v>0</v>
      </c>
      <c r="M43" s="973">
        <f>industrie!L22</f>
        <v>0</v>
      </c>
      <c r="N43" s="973">
        <f>industrie!M22</f>
        <v>0</v>
      </c>
      <c r="O43" s="973">
        <f>industrie!N22</f>
        <v>0</v>
      </c>
      <c r="P43" s="973">
        <f>industrie!O22</f>
        <v>0</v>
      </c>
      <c r="Q43" s="742">
        <f>industrie!P22</f>
        <v>0</v>
      </c>
      <c r="R43" s="817">
        <f t="shared" ca="1" si="4"/>
        <v>84.995141429870387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1265.3707014075328</v>
      </c>
      <c r="D46" s="700">
        <f t="shared" ref="D46:Q46" ca="1" si="5">SUM(D39:D45)</f>
        <v>0</v>
      </c>
      <c r="E46" s="700">
        <f t="shared" ca="1" si="5"/>
        <v>1072.0166072096793</v>
      </c>
      <c r="F46" s="700">
        <f t="shared" si="5"/>
        <v>92.556289983979013</v>
      </c>
      <c r="G46" s="700">
        <f t="shared" ca="1" si="5"/>
        <v>2359.7106191373964</v>
      </c>
      <c r="H46" s="700">
        <f t="shared" si="5"/>
        <v>0</v>
      </c>
      <c r="I46" s="700">
        <f t="shared" si="5"/>
        <v>0</v>
      </c>
      <c r="J46" s="700">
        <f t="shared" si="5"/>
        <v>0</v>
      </c>
      <c r="K46" s="700">
        <f t="shared" si="5"/>
        <v>14.375907711323183</v>
      </c>
      <c r="L46" s="700">
        <f t="shared" si="5"/>
        <v>0</v>
      </c>
      <c r="M46" s="700">
        <f t="shared" ca="1" si="5"/>
        <v>0</v>
      </c>
      <c r="N46" s="700">
        <f t="shared" si="5"/>
        <v>0</v>
      </c>
      <c r="O46" s="700">
        <f t="shared" ca="1" si="5"/>
        <v>0</v>
      </c>
      <c r="P46" s="700">
        <f t="shared" si="5"/>
        <v>0</v>
      </c>
      <c r="Q46" s="700">
        <f t="shared" si="5"/>
        <v>0</v>
      </c>
      <c r="R46" s="700">
        <f ca="1">SUM(R39:R45)</f>
        <v>4804.0301254499109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0.35925336692377924</v>
      </c>
      <c r="D49" s="973">
        <f ca="1">transport!C58</f>
        <v>0</v>
      </c>
      <c r="E49" s="973">
        <f>transport!D58</f>
        <v>0</v>
      </c>
      <c r="F49" s="973">
        <f>transport!E58</f>
        <v>0</v>
      </c>
      <c r="G49" s="973">
        <f>transport!F58</f>
        <v>0</v>
      </c>
      <c r="H49" s="973">
        <f>transport!G58</f>
        <v>46.69163316046965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47.05088652739343</v>
      </c>
    </row>
    <row r="50" spans="1:18">
      <c r="A50" s="793" t="s">
        <v>301</v>
      </c>
      <c r="B50" s="803"/>
      <c r="C50" s="671">
        <f ca="1">transport!B18</f>
        <v>1.2088582823284091</v>
      </c>
      <c r="D50" s="671">
        <f>transport!C18</f>
        <v>0</v>
      </c>
      <c r="E50" s="671">
        <f>transport!D18</f>
        <v>2.2180558288835432</v>
      </c>
      <c r="F50" s="671">
        <f>transport!E18</f>
        <v>4.3433238438835371</v>
      </c>
      <c r="G50" s="671">
        <f>transport!F18</f>
        <v>0</v>
      </c>
      <c r="H50" s="671">
        <f>transport!G18</f>
        <v>2009.5919490000308</v>
      </c>
      <c r="I50" s="671">
        <f>transport!H18</f>
        <v>439.67611290599154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2457.038299861118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1.5681116492521883</v>
      </c>
      <c r="D52" s="700">
        <f t="shared" ref="D52:Q52" ca="1" si="6">SUM(D48:D51)</f>
        <v>0</v>
      </c>
      <c r="E52" s="700">
        <f t="shared" si="6"/>
        <v>2.2180558288835432</v>
      </c>
      <c r="F52" s="700">
        <f t="shared" si="6"/>
        <v>4.3433238438835371</v>
      </c>
      <c r="G52" s="700">
        <f t="shared" si="6"/>
        <v>0</v>
      </c>
      <c r="H52" s="700">
        <f t="shared" si="6"/>
        <v>2056.2835821605004</v>
      </c>
      <c r="I52" s="700">
        <f t="shared" si="6"/>
        <v>439.67611290599154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2504.0891863885113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72.165022626971208</v>
      </c>
      <c r="D54" s="671">
        <f ca="1">+landbouw!C12</f>
        <v>0</v>
      </c>
      <c r="E54" s="671">
        <f>+landbouw!D12</f>
        <v>3.36222319962397</v>
      </c>
      <c r="F54" s="671">
        <f>+landbouw!E12</f>
        <v>2.4950162871488462</v>
      </c>
      <c r="G54" s="671">
        <f>+landbouw!F12</f>
        <v>415.93714239680037</v>
      </c>
      <c r="H54" s="671">
        <f>+landbouw!G12</f>
        <v>0</v>
      </c>
      <c r="I54" s="671">
        <f>+landbouw!H12</f>
        <v>0</v>
      </c>
      <c r="J54" s="671">
        <f>+landbouw!I12</f>
        <v>0</v>
      </c>
      <c r="K54" s="671">
        <f>+landbouw!J12</f>
        <v>19.178299084852345</v>
      </c>
      <c r="L54" s="671">
        <f>+landbouw!K12</f>
        <v>0</v>
      </c>
      <c r="M54" s="671">
        <f>+landbouw!L12</f>
        <v>0</v>
      </c>
      <c r="N54" s="671">
        <f>+landbouw!M12</f>
        <v>0</v>
      </c>
      <c r="O54" s="671">
        <f>+landbouw!N12</f>
        <v>0</v>
      </c>
      <c r="P54" s="671">
        <f>+landbouw!O12</f>
        <v>0</v>
      </c>
      <c r="Q54" s="672">
        <f>+landbouw!P12</f>
        <v>0</v>
      </c>
      <c r="R54" s="699">
        <f ca="1">SUM(C54:Q54)</f>
        <v>513.13770359539672</v>
      </c>
    </row>
    <row r="55" spans="1:18" ht="15" thickBot="1">
      <c r="A55" s="793" t="s">
        <v>808</v>
      </c>
      <c r="B55" s="803"/>
      <c r="C55" s="671">
        <f ca="1">C25*'EF ele_warmte'!B12</f>
        <v>21.987601038751119</v>
      </c>
      <c r="D55" s="671"/>
      <c r="E55" s="671">
        <f>E25*EF_CO2_aardgas</f>
        <v>24.174327476011815</v>
      </c>
      <c r="F55" s="671"/>
      <c r="G55" s="671"/>
      <c r="H55" s="671"/>
      <c r="I55" s="671"/>
      <c r="J55" s="671"/>
      <c r="K55" s="671"/>
      <c r="L55" s="671"/>
      <c r="M55" s="671"/>
      <c r="N55" s="671"/>
      <c r="O55" s="671"/>
      <c r="P55" s="671"/>
      <c r="Q55" s="672"/>
      <c r="R55" s="699">
        <f ca="1">SUM(C55:Q55)</f>
        <v>46.161928514762934</v>
      </c>
    </row>
    <row r="56" spans="1:18" ht="15.75" thickBot="1">
      <c r="A56" s="791" t="s">
        <v>809</v>
      </c>
      <c r="B56" s="804"/>
      <c r="C56" s="700">
        <f ca="1">SUM(C54:C55)</f>
        <v>94.152623665722331</v>
      </c>
      <c r="D56" s="700">
        <f t="shared" ref="D56:Q56" ca="1" si="7">SUM(D54:D55)</f>
        <v>0</v>
      </c>
      <c r="E56" s="700">
        <f t="shared" si="7"/>
        <v>27.536550675635784</v>
      </c>
      <c r="F56" s="700">
        <f t="shared" si="7"/>
        <v>2.4950162871488462</v>
      </c>
      <c r="G56" s="700">
        <f t="shared" si="7"/>
        <v>415.93714239680037</v>
      </c>
      <c r="H56" s="700">
        <f t="shared" si="7"/>
        <v>0</v>
      </c>
      <c r="I56" s="700">
        <f t="shared" si="7"/>
        <v>0</v>
      </c>
      <c r="J56" s="700">
        <f t="shared" si="7"/>
        <v>0</v>
      </c>
      <c r="K56" s="700">
        <f t="shared" si="7"/>
        <v>19.178299084852345</v>
      </c>
      <c r="L56" s="700">
        <f t="shared" si="7"/>
        <v>0</v>
      </c>
      <c r="M56" s="700">
        <f t="shared" si="7"/>
        <v>0</v>
      </c>
      <c r="N56" s="700">
        <f t="shared" si="7"/>
        <v>0</v>
      </c>
      <c r="O56" s="700">
        <f t="shared" si="7"/>
        <v>0</v>
      </c>
      <c r="P56" s="700">
        <f t="shared" si="7"/>
        <v>0</v>
      </c>
      <c r="Q56" s="701">
        <f t="shared" si="7"/>
        <v>0</v>
      </c>
      <c r="R56" s="702">
        <f ca="1">SUM(R54:R55)</f>
        <v>559.29963211015968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1361.0914367225073</v>
      </c>
      <c r="D61" s="708">
        <f t="shared" ref="D61:Q61" ca="1" si="8">D46+D52+D56</f>
        <v>0</v>
      </c>
      <c r="E61" s="708">
        <f t="shared" ca="1" si="8"/>
        <v>1101.7712137141984</v>
      </c>
      <c r="F61" s="708">
        <f t="shared" si="8"/>
        <v>99.394630115011395</v>
      </c>
      <c r="G61" s="708">
        <f t="shared" ca="1" si="8"/>
        <v>2775.6477615341969</v>
      </c>
      <c r="H61" s="708">
        <f t="shared" si="8"/>
        <v>2056.2835821605004</v>
      </c>
      <c r="I61" s="708">
        <f t="shared" si="8"/>
        <v>439.67611290599154</v>
      </c>
      <c r="J61" s="708">
        <f t="shared" si="8"/>
        <v>0</v>
      </c>
      <c r="K61" s="708">
        <f t="shared" si="8"/>
        <v>33.554206796175528</v>
      </c>
      <c r="L61" s="708">
        <f t="shared" si="8"/>
        <v>0</v>
      </c>
      <c r="M61" s="708">
        <f t="shared" ca="1" si="8"/>
        <v>0</v>
      </c>
      <c r="N61" s="708">
        <f t="shared" si="8"/>
        <v>0</v>
      </c>
      <c r="O61" s="708">
        <f t="shared" ca="1" si="8"/>
        <v>0</v>
      </c>
      <c r="P61" s="708">
        <f t="shared" si="8"/>
        <v>0</v>
      </c>
      <c r="Q61" s="708">
        <f t="shared" si="8"/>
        <v>0</v>
      </c>
      <c r="R61" s="708">
        <f ca="1">R46+R52+R56</f>
        <v>7867.4189439485817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0.19298517233772861</v>
      </c>
      <c r="D63" s="749">
        <f t="shared" ca="1" si="9"/>
        <v>0</v>
      </c>
      <c r="E63" s="984">
        <f t="shared" ca="1" si="9"/>
        <v>0.20200000000000001</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894.044304928222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894.044304928222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3795.9098039435094</v>
      </c>
      <c r="C4" s="445">
        <f>huishoudens!C8</f>
        <v>0</v>
      </c>
      <c r="D4" s="445">
        <f>huishoudens!D8</f>
        <v>3094.8269474375761</v>
      </c>
      <c r="E4" s="445">
        <f>huishoudens!E8</f>
        <v>329.07902090339815</v>
      </c>
      <c r="F4" s="445">
        <f>huishoudens!F8</f>
        <v>8337.3872867191585</v>
      </c>
      <c r="G4" s="445">
        <f>huishoudens!G8</f>
        <v>0</v>
      </c>
      <c r="H4" s="445">
        <f>huishoudens!H8</f>
        <v>0</v>
      </c>
      <c r="I4" s="445">
        <f>huishoudens!I8</f>
        <v>0</v>
      </c>
      <c r="J4" s="445">
        <f>huishoudens!J8</f>
        <v>40.118572242186545</v>
      </c>
      <c r="K4" s="445">
        <f>huishoudens!K8</f>
        <v>0</v>
      </c>
      <c r="L4" s="445">
        <f>huishoudens!L8</f>
        <v>0</v>
      </c>
      <c r="M4" s="445">
        <f>huishoudens!M8</f>
        <v>0</v>
      </c>
      <c r="N4" s="445">
        <f>huishoudens!N8</f>
        <v>1234.2206406489718</v>
      </c>
      <c r="O4" s="445">
        <f>huishoudens!O8</f>
        <v>85.983333333333334</v>
      </c>
      <c r="P4" s="446">
        <f>huishoudens!P8</f>
        <v>76.266666666666666</v>
      </c>
      <c r="Q4" s="447">
        <f>SUM(B4:P4)</f>
        <v>16993.792271894803</v>
      </c>
    </row>
    <row r="5" spans="1:17">
      <c r="A5" s="444" t="s">
        <v>155</v>
      </c>
      <c r="B5" s="445">
        <f ca="1">tertiair!B16</f>
        <v>2454.4647279755691</v>
      </c>
      <c r="C5" s="445">
        <f ca="1">tertiair!C16</f>
        <v>0</v>
      </c>
      <c r="D5" s="445">
        <f ca="1">tertiair!D16</f>
        <v>2061.6668127373796</v>
      </c>
      <c r="E5" s="445">
        <f>tertiair!E16</f>
        <v>59.316210633108504</v>
      </c>
      <c r="F5" s="445">
        <f ca="1">tertiair!F16</f>
        <v>440.99068253158396</v>
      </c>
      <c r="G5" s="445">
        <f>tertiair!G16</f>
        <v>0</v>
      </c>
      <c r="H5" s="445">
        <f>tertiair!H16</f>
        <v>0</v>
      </c>
      <c r="I5" s="445">
        <f>tertiair!I16</f>
        <v>0</v>
      </c>
      <c r="J5" s="445">
        <f>tertiair!J16</f>
        <v>2.50568045637364E-3</v>
      </c>
      <c r="K5" s="445">
        <f>tertiair!K16</f>
        <v>0</v>
      </c>
      <c r="L5" s="445">
        <f ca="1">tertiair!L16</f>
        <v>0</v>
      </c>
      <c r="M5" s="445">
        <f>tertiair!M16</f>
        <v>0</v>
      </c>
      <c r="N5" s="445">
        <f ca="1">tertiair!N16</f>
        <v>102.35079871792392</v>
      </c>
      <c r="O5" s="445">
        <f>tertiair!O16</f>
        <v>0</v>
      </c>
      <c r="P5" s="446">
        <f>tertiair!P16</f>
        <v>0</v>
      </c>
      <c r="Q5" s="444">
        <f t="shared" ref="Q5:Q14" ca="1" si="0">SUM(B5:P5)</f>
        <v>5118.7917382760206</v>
      </c>
    </row>
    <row r="6" spans="1:17">
      <c r="A6" s="444" t="s">
        <v>193</v>
      </c>
      <c r="B6" s="445">
        <f>'openbare verlichting'!B8</f>
        <v>129.53399999999999</v>
      </c>
      <c r="C6" s="445"/>
      <c r="D6" s="445"/>
      <c r="E6" s="445"/>
      <c r="F6" s="445"/>
      <c r="G6" s="445"/>
      <c r="H6" s="445"/>
      <c r="I6" s="445"/>
      <c r="J6" s="445"/>
      <c r="K6" s="445"/>
      <c r="L6" s="445"/>
      <c r="M6" s="445"/>
      <c r="N6" s="445"/>
      <c r="O6" s="445"/>
      <c r="P6" s="446"/>
      <c r="Q6" s="444">
        <f t="shared" si="0"/>
        <v>129.53399999999999</v>
      </c>
    </row>
    <row r="7" spans="1:17">
      <c r="A7" s="444" t="s">
        <v>111</v>
      </c>
      <c r="B7" s="445">
        <f>landbouw!B8</f>
        <v>373.94076318299062</v>
      </c>
      <c r="C7" s="445">
        <f>landbouw!C8</f>
        <v>0</v>
      </c>
      <c r="D7" s="445">
        <f>landbouw!D8</f>
        <v>16.644669305069158</v>
      </c>
      <c r="E7" s="445">
        <f>landbouw!E8</f>
        <v>10.991261176867162</v>
      </c>
      <c r="F7" s="445">
        <f>landbouw!F8</f>
        <v>1557.8170127220988</v>
      </c>
      <c r="G7" s="445">
        <f>landbouw!G8</f>
        <v>0</v>
      </c>
      <c r="H7" s="445">
        <f>landbouw!H8</f>
        <v>0</v>
      </c>
      <c r="I7" s="445">
        <f>landbouw!I8</f>
        <v>0</v>
      </c>
      <c r="J7" s="445">
        <f>landbouw!J8</f>
        <v>54.175986115402104</v>
      </c>
      <c r="K7" s="445">
        <f>landbouw!K8</f>
        <v>0</v>
      </c>
      <c r="L7" s="445">
        <f>landbouw!L8</f>
        <v>0</v>
      </c>
      <c r="M7" s="445">
        <f>landbouw!M8</f>
        <v>0</v>
      </c>
      <c r="N7" s="445">
        <f>landbouw!N8</f>
        <v>0</v>
      </c>
      <c r="O7" s="445">
        <f>landbouw!O8</f>
        <v>0</v>
      </c>
      <c r="P7" s="446">
        <f>landbouw!P8</f>
        <v>0</v>
      </c>
      <c r="Q7" s="444">
        <f t="shared" si="0"/>
        <v>2013.5696925024279</v>
      </c>
    </row>
    <row r="8" spans="1:17">
      <c r="A8" s="444" t="s">
        <v>627</v>
      </c>
      <c r="B8" s="445">
        <f>industrie!B18</f>
        <v>176.92008905447591</v>
      </c>
      <c r="C8" s="445">
        <f>industrie!C18</f>
        <v>0</v>
      </c>
      <c r="D8" s="445">
        <f>industrie!D18</f>
        <v>150.51914680365499</v>
      </c>
      <c r="E8" s="445">
        <f>industrie!E18</f>
        <v>19.341728745339243</v>
      </c>
      <c r="F8" s="445">
        <f>industrie!F18</f>
        <v>59.489518155236524</v>
      </c>
      <c r="G8" s="445">
        <f>industrie!G18</f>
        <v>0</v>
      </c>
      <c r="H8" s="445">
        <f>industrie!H18</f>
        <v>0</v>
      </c>
      <c r="I8" s="445">
        <f>industrie!I18</f>
        <v>0</v>
      </c>
      <c r="J8" s="445">
        <f>industrie!J18</f>
        <v>0.48883086640562312</v>
      </c>
      <c r="K8" s="445">
        <f>industrie!K18</f>
        <v>0</v>
      </c>
      <c r="L8" s="445">
        <f>industrie!L18</f>
        <v>0</v>
      </c>
      <c r="M8" s="445">
        <f>industrie!M18</f>
        <v>0</v>
      </c>
      <c r="N8" s="445">
        <f>industrie!N18</f>
        <v>12.751682589583204</v>
      </c>
      <c r="O8" s="445">
        <f>industrie!O18</f>
        <v>0</v>
      </c>
      <c r="P8" s="446">
        <f>industrie!P18</f>
        <v>0</v>
      </c>
      <c r="Q8" s="444">
        <f t="shared" si="0"/>
        <v>419.51099621469552</v>
      </c>
    </row>
    <row r="9" spans="1:17" s="450" customFormat="1">
      <c r="A9" s="448" t="s">
        <v>553</v>
      </c>
      <c r="B9" s="449">
        <f>transport!B14</f>
        <v>6.2639956618681492</v>
      </c>
      <c r="C9" s="449">
        <f>transport!C14</f>
        <v>0</v>
      </c>
      <c r="D9" s="449">
        <f>transport!D14</f>
        <v>10.980474400413581</v>
      </c>
      <c r="E9" s="449">
        <f>transport!E14</f>
        <v>19.133585215345978</v>
      </c>
      <c r="F9" s="449">
        <f>transport!F14</f>
        <v>0</v>
      </c>
      <c r="G9" s="449">
        <f>transport!G14</f>
        <v>7526.5616067416877</v>
      </c>
      <c r="H9" s="449">
        <f>transport!H14</f>
        <v>1765.7675217108094</v>
      </c>
      <c r="I9" s="449">
        <f>transport!I14</f>
        <v>0</v>
      </c>
      <c r="J9" s="449">
        <f>transport!J14</f>
        <v>0</v>
      </c>
      <c r="K9" s="449">
        <f>transport!K14</f>
        <v>0</v>
      </c>
      <c r="L9" s="449">
        <f>transport!L14</f>
        <v>0</v>
      </c>
      <c r="M9" s="449">
        <f>transport!M14</f>
        <v>491.72764211769874</v>
      </c>
      <c r="N9" s="449">
        <f>transport!N14</f>
        <v>0</v>
      </c>
      <c r="O9" s="449">
        <f>transport!O14</f>
        <v>0</v>
      </c>
      <c r="P9" s="449">
        <f>transport!P14</f>
        <v>0</v>
      </c>
      <c r="Q9" s="448">
        <f>SUM(B9:P9)</f>
        <v>9820.434825847824</v>
      </c>
    </row>
    <row r="10" spans="1:17">
      <c r="A10" s="444" t="s">
        <v>543</v>
      </c>
      <c r="B10" s="445">
        <f>transport!B54</f>
        <v>1.8615594274521639</v>
      </c>
      <c r="C10" s="445">
        <f>transport!C54</f>
        <v>0</v>
      </c>
      <c r="D10" s="445">
        <f>transport!D54</f>
        <v>0</v>
      </c>
      <c r="E10" s="445">
        <f>transport!E54</f>
        <v>0</v>
      </c>
      <c r="F10" s="445">
        <f>transport!F54</f>
        <v>0</v>
      </c>
      <c r="G10" s="445">
        <f>transport!G54</f>
        <v>174.87503056355672</v>
      </c>
      <c r="H10" s="445">
        <f>transport!H54</f>
        <v>0</v>
      </c>
      <c r="I10" s="445">
        <f>transport!I54</f>
        <v>0</v>
      </c>
      <c r="J10" s="445">
        <f>transport!J54</f>
        <v>0</v>
      </c>
      <c r="K10" s="445">
        <f>transport!K54</f>
        <v>0</v>
      </c>
      <c r="L10" s="445">
        <f>transport!L54</f>
        <v>0</v>
      </c>
      <c r="M10" s="445">
        <f>transport!M54</f>
        <v>10.070527945073424</v>
      </c>
      <c r="N10" s="445">
        <f>transport!N54</f>
        <v>0</v>
      </c>
      <c r="O10" s="445">
        <f>transport!O54</f>
        <v>0</v>
      </c>
      <c r="P10" s="446">
        <f>transport!P54</f>
        <v>0</v>
      </c>
      <c r="Q10" s="444">
        <f t="shared" si="0"/>
        <v>186.80711793608231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113.934147232163</v>
      </c>
      <c r="C14" s="452"/>
      <c r="D14" s="452">
        <f>'SEAP template'!E25</f>
        <v>119.67488849510799</v>
      </c>
      <c r="E14" s="452"/>
      <c r="F14" s="452"/>
      <c r="G14" s="452"/>
      <c r="H14" s="452"/>
      <c r="I14" s="452"/>
      <c r="J14" s="452"/>
      <c r="K14" s="452"/>
      <c r="L14" s="452"/>
      <c r="M14" s="452"/>
      <c r="N14" s="452"/>
      <c r="O14" s="452"/>
      <c r="P14" s="453"/>
      <c r="Q14" s="444">
        <f t="shared" si="0"/>
        <v>233.60903572727099</v>
      </c>
    </row>
    <row r="15" spans="1:17" s="454" customFormat="1">
      <c r="A15" s="999" t="s">
        <v>547</v>
      </c>
      <c r="B15" s="947">
        <f ca="1">SUM(B4:B14)</f>
        <v>7052.8290864780283</v>
      </c>
      <c r="C15" s="947">
        <f t="shared" ref="C15:Q15" ca="1" si="1">SUM(C4:C14)</f>
        <v>0</v>
      </c>
      <c r="D15" s="947">
        <f t="shared" ca="1" si="1"/>
        <v>5454.3129391791999</v>
      </c>
      <c r="E15" s="947">
        <f t="shared" si="1"/>
        <v>437.86180667405904</v>
      </c>
      <c r="F15" s="947">
        <f t="shared" ca="1" si="1"/>
        <v>10395.684500128078</v>
      </c>
      <c r="G15" s="947">
        <f t="shared" si="1"/>
        <v>7701.4366373052444</v>
      </c>
      <c r="H15" s="947">
        <f t="shared" si="1"/>
        <v>1765.7675217108094</v>
      </c>
      <c r="I15" s="947">
        <f t="shared" si="1"/>
        <v>0</v>
      </c>
      <c r="J15" s="947">
        <f t="shared" si="1"/>
        <v>94.785894904450643</v>
      </c>
      <c r="K15" s="947">
        <f t="shared" si="1"/>
        <v>0</v>
      </c>
      <c r="L15" s="947">
        <f t="shared" ca="1" si="1"/>
        <v>0</v>
      </c>
      <c r="M15" s="947">
        <f t="shared" si="1"/>
        <v>501.79817006277216</v>
      </c>
      <c r="N15" s="947">
        <f t="shared" ca="1" si="1"/>
        <v>1349.3231219564789</v>
      </c>
      <c r="O15" s="947">
        <f t="shared" si="1"/>
        <v>85.983333333333334</v>
      </c>
      <c r="P15" s="947">
        <f t="shared" si="1"/>
        <v>76.266666666666666</v>
      </c>
      <c r="Q15" s="947">
        <f t="shared" ca="1" si="1"/>
        <v>34916.049678399126</v>
      </c>
    </row>
    <row r="17" spans="1:17">
      <c r="A17" s="455" t="s">
        <v>548</v>
      </c>
      <c r="B17" s="754">
        <f ca="1">huishoudens!B10</f>
        <v>0.19298517233772861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732.55430769251177</v>
      </c>
      <c r="C22" s="445">
        <f t="shared" ref="C22:C32" ca="1" si="3">C4*$C$17</f>
        <v>0</v>
      </c>
      <c r="D22" s="445">
        <f t="shared" ref="D22:D32" si="4">D4*$D$17</f>
        <v>625.15504338239043</v>
      </c>
      <c r="E22" s="445">
        <f t="shared" ref="E22:E32" si="5">E4*$E$17</f>
        <v>74.700937745071386</v>
      </c>
      <c r="F22" s="445">
        <f t="shared" ref="F22:F32" si="6">F4*$F$17</f>
        <v>2226.0824055540156</v>
      </c>
      <c r="G22" s="445">
        <f t="shared" ref="G22:G32" si="7">G4*$G$17</f>
        <v>0</v>
      </c>
      <c r="H22" s="445">
        <f t="shared" ref="H22:H32" si="8">H4*$H$17</f>
        <v>0</v>
      </c>
      <c r="I22" s="445">
        <f t="shared" ref="I22:I32" si="9">I4*$I$17</f>
        <v>0</v>
      </c>
      <c r="J22" s="445">
        <f t="shared" ref="J22:J32" si="10">J4*$J$17</f>
        <v>14.201974573734036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3672.6946689477231</v>
      </c>
    </row>
    <row r="23" spans="1:17">
      <c r="A23" s="444" t="s">
        <v>155</v>
      </c>
      <c r="B23" s="445">
        <f t="shared" ca="1" si="2"/>
        <v>473.67529852524137</v>
      </c>
      <c r="C23" s="445">
        <f t="shared" ca="1" si="3"/>
        <v>0</v>
      </c>
      <c r="D23" s="445">
        <f t="shared" ca="1" si="4"/>
        <v>416.45669617295073</v>
      </c>
      <c r="E23" s="445">
        <f t="shared" si="5"/>
        <v>13.46477981371563</v>
      </c>
      <c r="F23" s="445">
        <f t="shared" ca="1" si="6"/>
        <v>117.74451223593292</v>
      </c>
      <c r="G23" s="445">
        <f t="shared" si="7"/>
        <v>0</v>
      </c>
      <c r="H23" s="445">
        <f t="shared" si="8"/>
        <v>0</v>
      </c>
      <c r="I23" s="445">
        <f t="shared" si="9"/>
        <v>0</v>
      </c>
      <c r="J23" s="445">
        <f t="shared" si="10"/>
        <v>8.8701088155626856E-4</v>
      </c>
      <c r="K23" s="445">
        <f t="shared" si="11"/>
        <v>0</v>
      </c>
      <c r="L23" s="445">
        <f t="shared" ca="1" si="12"/>
        <v>0</v>
      </c>
      <c r="M23" s="445">
        <f t="shared" si="13"/>
        <v>0</v>
      </c>
      <c r="N23" s="445">
        <f t="shared" ca="1" si="14"/>
        <v>0</v>
      </c>
      <c r="O23" s="445">
        <f t="shared" si="15"/>
        <v>0</v>
      </c>
      <c r="P23" s="446">
        <f t="shared" si="16"/>
        <v>0</v>
      </c>
      <c r="Q23" s="444">
        <f t="shared" ref="Q23:Q32" ca="1" si="17">SUM(B23:P23)</f>
        <v>1021.3421737587222</v>
      </c>
    </row>
    <row r="24" spans="1:17">
      <c r="A24" s="444" t="s">
        <v>193</v>
      </c>
      <c r="B24" s="445">
        <f t="shared" ca="1" si="2"/>
        <v>24.998141313595337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24.998141313595337</v>
      </c>
    </row>
    <row r="25" spans="1:17">
      <c r="A25" s="444" t="s">
        <v>111</v>
      </c>
      <c r="B25" s="445">
        <f t="shared" ca="1" si="2"/>
        <v>72.165022626971208</v>
      </c>
      <c r="C25" s="445">
        <f t="shared" ca="1" si="3"/>
        <v>0</v>
      </c>
      <c r="D25" s="445">
        <f t="shared" si="4"/>
        <v>3.36222319962397</v>
      </c>
      <c r="E25" s="445">
        <f t="shared" si="5"/>
        <v>2.4950162871488462</v>
      </c>
      <c r="F25" s="445">
        <f t="shared" si="6"/>
        <v>415.93714239680037</v>
      </c>
      <c r="G25" s="445">
        <f t="shared" si="7"/>
        <v>0</v>
      </c>
      <c r="H25" s="445">
        <f t="shared" si="8"/>
        <v>0</v>
      </c>
      <c r="I25" s="445">
        <f t="shared" si="9"/>
        <v>0</v>
      </c>
      <c r="J25" s="445">
        <f t="shared" si="10"/>
        <v>19.178299084852345</v>
      </c>
      <c r="K25" s="445">
        <f t="shared" si="11"/>
        <v>0</v>
      </c>
      <c r="L25" s="445">
        <f t="shared" si="12"/>
        <v>0</v>
      </c>
      <c r="M25" s="445">
        <f t="shared" si="13"/>
        <v>0</v>
      </c>
      <c r="N25" s="445">
        <f t="shared" si="14"/>
        <v>0</v>
      </c>
      <c r="O25" s="445">
        <f t="shared" si="15"/>
        <v>0</v>
      </c>
      <c r="P25" s="446">
        <f t="shared" si="16"/>
        <v>0</v>
      </c>
      <c r="Q25" s="444">
        <f t="shared" ca="1" si="17"/>
        <v>513.13770359539672</v>
      </c>
    </row>
    <row r="26" spans="1:17">
      <c r="A26" s="444" t="s">
        <v>627</v>
      </c>
      <c r="B26" s="445">
        <f t="shared" ca="1" si="2"/>
        <v>34.142953876184329</v>
      </c>
      <c r="C26" s="445">
        <f t="shared" ca="1" si="3"/>
        <v>0</v>
      </c>
      <c r="D26" s="445">
        <f t="shared" si="4"/>
        <v>30.404867654338311</v>
      </c>
      <c r="E26" s="445">
        <f t="shared" si="5"/>
        <v>4.3905724251920084</v>
      </c>
      <c r="F26" s="445">
        <f t="shared" si="6"/>
        <v>15.883701347448152</v>
      </c>
      <c r="G26" s="445">
        <f t="shared" si="7"/>
        <v>0</v>
      </c>
      <c r="H26" s="445">
        <f t="shared" si="8"/>
        <v>0</v>
      </c>
      <c r="I26" s="445">
        <f t="shared" si="9"/>
        <v>0</v>
      </c>
      <c r="J26" s="445">
        <f t="shared" si="10"/>
        <v>0.17304612670759056</v>
      </c>
      <c r="K26" s="445">
        <f t="shared" si="11"/>
        <v>0</v>
      </c>
      <c r="L26" s="445">
        <f t="shared" si="12"/>
        <v>0</v>
      </c>
      <c r="M26" s="445">
        <f t="shared" si="13"/>
        <v>0</v>
      </c>
      <c r="N26" s="445">
        <f t="shared" si="14"/>
        <v>0</v>
      </c>
      <c r="O26" s="445">
        <f t="shared" si="15"/>
        <v>0</v>
      </c>
      <c r="P26" s="446">
        <f t="shared" si="16"/>
        <v>0</v>
      </c>
      <c r="Q26" s="444">
        <f t="shared" ca="1" si="17"/>
        <v>84.995141429870387</v>
      </c>
    </row>
    <row r="27" spans="1:17" s="450" customFormat="1">
      <c r="A27" s="448" t="s">
        <v>553</v>
      </c>
      <c r="B27" s="748">
        <f t="shared" ca="1" si="2"/>
        <v>1.2088582823284091</v>
      </c>
      <c r="C27" s="449">
        <f t="shared" ca="1" si="3"/>
        <v>0</v>
      </c>
      <c r="D27" s="449">
        <f t="shared" si="4"/>
        <v>2.2180558288835432</v>
      </c>
      <c r="E27" s="449">
        <f t="shared" si="5"/>
        <v>4.3433238438835371</v>
      </c>
      <c r="F27" s="449">
        <f t="shared" si="6"/>
        <v>0</v>
      </c>
      <c r="G27" s="449">
        <f t="shared" si="7"/>
        <v>2009.5919490000308</v>
      </c>
      <c r="H27" s="449">
        <f t="shared" si="8"/>
        <v>439.67611290599154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2457.038299861118</v>
      </c>
    </row>
    <row r="28" spans="1:17">
      <c r="A28" s="444" t="s">
        <v>543</v>
      </c>
      <c r="B28" s="445">
        <f t="shared" ca="1" si="2"/>
        <v>0.35925336692377924</v>
      </c>
      <c r="C28" s="445">
        <f t="shared" ca="1" si="3"/>
        <v>0</v>
      </c>
      <c r="D28" s="445">
        <f t="shared" si="4"/>
        <v>0</v>
      </c>
      <c r="E28" s="445">
        <f t="shared" si="5"/>
        <v>0</v>
      </c>
      <c r="F28" s="445">
        <f t="shared" si="6"/>
        <v>0</v>
      </c>
      <c r="G28" s="445">
        <f t="shared" si="7"/>
        <v>46.69163316046965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47.05088652739343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21.987601038751119</v>
      </c>
      <c r="C32" s="445">
        <f t="shared" ca="1" si="3"/>
        <v>0</v>
      </c>
      <c r="D32" s="445">
        <f t="shared" si="4"/>
        <v>24.174327476011815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46.161928514762934</v>
      </c>
    </row>
    <row r="33" spans="1:17" s="454" customFormat="1">
      <c r="A33" s="999" t="s">
        <v>547</v>
      </c>
      <c r="B33" s="947">
        <f ca="1">SUM(B22:B32)</f>
        <v>1361.0914367225073</v>
      </c>
      <c r="C33" s="947">
        <f t="shared" ref="C33:Q33" ca="1" si="18">SUM(C22:C32)</f>
        <v>0</v>
      </c>
      <c r="D33" s="947">
        <f t="shared" ca="1" si="18"/>
        <v>1101.7712137141984</v>
      </c>
      <c r="E33" s="947">
        <f t="shared" si="18"/>
        <v>99.394630115011395</v>
      </c>
      <c r="F33" s="947">
        <f t="shared" ca="1" si="18"/>
        <v>2775.6477615341969</v>
      </c>
      <c r="G33" s="947">
        <f t="shared" si="18"/>
        <v>2056.2835821605004</v>
      </c>
      <c r="H33" s="947">
        <f t="shared" si="18"/>
        <v>439.67611290599154</v>
      </c>
      <c r="I33" s="947">
        <f t="shared" si="18"/>
        <v>0</v>
      </c>
      <c r="J33" s="947">
        <f t="shared" si="18"/>
        <v>33.554206796175528</v>
      </c>
      <c r="K33" s="947">
        <f t="shared" si="18"/>
        <v>0</v>
      </c>
      <c r="L33" s="947">
        <f t="shared" ca="1" si="18"/>
        <v>0</v>
      </c>
      <c r="M33" s="947">
        <f t="shared" si="18"/>
        <v>0</v>
      </c>
      <c r="N33" s="947">
        <f t="shared" ca="1" si="18"/>
        <v>0</v>
      </c>
      <c r="O33" s="947">
        <f t="shared" si="18"/>
        <v>0</v>
      </c>
      <c r="P33" s="947">
        <f t="shared" si="18"/>
        <v>0</v>
      </c>
      <c r="Q33" s="947">
        <f t="shared" ca="1" si="18"/>
        <v>7867.4189439485817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894.044304928222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894.044304928222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0.19298517233772861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0.19298517233772861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0.19298517233772861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0.19298517233772861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755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752.15</v>
      </c>
      <c r="C14" s="324"/>
      <c r="D14" s="324"/>
      <c r="E14" s="324"/>
      <c r="F14" s="324"/>
    </row>
    <row r="15" spans="1:6">
      <c r="A15" s="1291" t="s">
        <v>183</v>
      </c>
      <c r="B15" s="1292">
        <v>9</v>
      </c>
      <c r="C15" s="324"/>
      <c r="D15" s="324"/>
      <c r="E15" s="324"/>
      <c r="F15" s="324"/>
    </row>
    <row r="16" spans="1:6">
      <c r="A16" s="1291" t="s">
        <v>6</v>
      </c>
      <c r="B16" s="1292">
        <v>362</v>
      </c>
      <c r="C16" s="324"/>
      <c r="D16" s="324"/>
      <c r="E16" s="324"/>
      <c r="F16" s="324"/>
    </row>
    <row r="17" spans="1:6">
      <c r="A17" s="1291" t="s">
        <v>7</v>
      </c>
      <c r="B17" s="1292">
        <v>172</v>
      </c>
      <c r="C17" s="324"/>
      <c r="D17" s="324"/>
      <c r="E17" s="324"/>
      <c r="F17" s="324"/>
    </row>
    <row r="18" spans="1:6">
      <c r="A18" s="1291" t="s">
        <v>8</v>
      </c>
      <c r="B18" s="1292">
        <v>283</v>
      </c>
      <c r="C18" s="324"/>
      <c r="D18" s="324"/>
      <c r="E18" s="324"/>
      <c r="F18" s="324"/>
    </row>
    <row r="19" spans="1:6">
      <c r="A19" s="1291" t="s">
        <v>9</v>
      </c>
      <c r="B19" s="1292">
        <v>346</v>
      </c>
      <c r="C19" s="324"/>
      <c r="D19" s="324"/>
      <c r="E19" s="324"/>
      <c r="F19" s="324"/>
    </row>
    <row r="20" spans="1:6">
      <c r="A20" s="1291" t="s">
        <v>10</v>
      </c>
      <c r="B20" s="1292">
        <v>171</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35700</v>
      </c>
      <c r="C28" s="330"/>
      <c r="D28" s="330"/>
      <c r="E28" s="330"/>
      <c r="F28" s="330"/>
    </row>
    <row r="29" spans="1:6">
      <c r="A29" s="1293" t="s">
        <v>722</v>
      </c>
      <c r="B29" s="1294">
        <v>58</v>
      </c>
      <c r="C29" s="330"/>
      <c r="D29" s="330"/>
      <c r="E29" s="330"/>
      <c r="F29" s="330"/>
    </row>
    <row r="30" spans="1:6">
      <c r="A30" s="1286" t="s">
        <v>723</v>
      </c>
      <c r="B30" s="1295">
        <v>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195</v>
      </c>
      <c r="D39" s="1292">
        <v>3431072.00381106</v>
      </c>
      <c r="E39" s="1292">
        <v>708</v>
      </c>
      <c r="F39" s="1292">
        <v>3200630.2975814501</v>
      </c>
    </row>
    <row r="40" spans="1:6">
      <c r="A40" s="1291" t="s">
        <v>29</v>
      </c>
      <c r="B40" s="1291" t="s">
        <v>28</v>
      </c>
      <c r="C40" s="1292">
        <v>0</v>
      </c>
      <c r="D40" s="1292">
        <v>0</v>
      </c>
      <c r="E40" s="1292">
        <v>0</v>
      </c>
      <c r="F40" s="1292">
        <v>0</v>
      </c>
    </row>
    <row r="41" spans="1:6">
      <c r="A41" s="1291" t="s">
        <v>31</v>
      </c>
      <c r="B41" s="1291" t="s">
        <v>32</v>
      </c>
      <c r="C41" s="1292">
        <v>0</v>
      </c>
      <c r="D41" s="1292">
        <v>0</v>
      </c>
      <c r="E41" s="1292">
        <v>10</v>
      </c>
      <c r="F41" s="1292">
        <v>40374.429024568897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166872.66829673501</v>
      </c>
      <c r="E48" s="1292">
        <v>10</v>
      </c>
      <c r="F48" s="1292">
        <v>136545.66002990701</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21</v>
      </c>
      <c r="F51" s="1292">
        <v>277476.38107360399</v>
      </c>
    </row>
    <row r="52" spans="1:6">
      <c r="A52" s="1291" t="s">
        <v>41</v>
      </c>
      <c r="B52" s="1291" t="s">
        <v>28</v>
      </c>
      <c r="C52" s="1292">
        <v>2</v>
      </c>
      <c r="D52" s="1292">
        <v>18453.0701830035</v>
      </c>
      <c r="E52" s="1292">
        <v>4</v>
      </c>
      <c r="F52" s="1292">
        <v>96464.382109386599</v>
      </c>
    </row>
    <row r="53" spans="1:6">
      <c r="A53" s="1291" t="s">
        <v>43</v>
      </c>
      <c r="B53" s="1291" t="s">
        <v>44</v>
      </c>
      <c r="C53" s="1292">
        <v>7</v>
      </c>
      <c r="D53" s="1292">
        <v>119674.888495108</v>
      </c>
      <c r="E53" s="1292">
        <v>32</v>
      </c>
      <c r="F53" s="1292">
        <v>113934.147232163</v>
      </c>
    </row>
    <row r="54" spans="1:6">
      <c r="A54" s="1291" t="s">
        <v>45</v>
      </c>
      <c r="B54" s="1291" t="s">
        <v>46</v>
      </c>
      <c r="C54" s="1292">
        <v>0</v>
      </c>
      <c r="D54" s="1292">
        <v>0</v>
      </c>
      <c r="E54" s="1292">
        <v>1</v>
      </c>
      <c r="F54" s="1292">
        <v>129534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3</v>
      </c>
      <c r="F57" s="1292">
        <v>14348.963681398</v>
      </c>
    </row>
    <row r="58" spans="1:6">
      <c r="A58" s="1291" t="s">
        <v>48</v>
      </c>
      <c r="B58" s="1291" t="s">
        <v>50</v>
      </c>
      <c r="C58" s="1292">
        <v>4</v>
      </c>
      <c r="D58" s="1292">
        <v>1262822.4536969899</v>
      </c>
      <c r="E58" s="1292">
        <v>8</v>
      </c>
      <c r="F58" s="1292">
        <v>35421.089584494999</v>
      </c>
    </row>
    <row r="59" spans="1:6">
      <c r="A59" s="1291" t="s">
        <v>48</v>
      </c>
      <c r="B59" s="1291" t="s">
        <v>51</v>
      </c>
      <c r="C59" s="1292">
        <v>3</v>
      </c>
      <c r="D59" s="1292">
        <v>99365.388873647797</v>
      </c>
      <c r="E59" s="1292">
        <v>13</v>
      </c>
      <c r="F59" s="1292">
        <v>1265999.5962451401</v>
      </c>
    </row>
    <row r="60" spans="1:6">
      <c r="A60" s="1291" t="s">
        <v>48</v>
      </c>
      <c r="B60" s="1291" t="s">
        <v>52</v>
      </c>
      <c r="C60" s="1292">
        <v>3</v>
      </c>
      <c r="D60" s="1292">
        <v>50706.870838905001</v>
      </c>
      <c r="E60" s="1292">
        <v>14</v>
      </c>
      <c r="F60" s="1292">
        <v>148492.385938163</v>
      </c>
    </row>
    <row r="61" spans="1:6">
      <c r="A61" s="1291" t="s">
        <v>48</v>
      </c>
      <c r="B61" s="1291" t="s">
        <v>53</v>
      </c>
      <c r="C61" s="1292">
        <v>0</v>
      </c>
      <c r="D61" s="1292">
        <v>0</v>
      </c>
      <c r="E61" s="1292">
        <v>15</v>
      </c>
      <c r="F61" s="1292">
        <v>84071.024706104203</v>
      </c>
    </row>
    <row r="62" spans="1:6">
      <c r="A62" s="1291" t="s">
        <v>48</v>
      </c>
      <c r="B62" s="1291" t="s">
        <v>54</v>
      </c>
      <c r="C62" s="1292">
        <v>0</v>
      </c>
      <c r="D62" s="1292">
        <v>0</v>
      </c>
      <c r="E62" s="1292">
        <v>0</v>
      </c>
      <c r="F62" s="1292">
        <v>0</v>
      </c>
    </row>
    <row r="63" spans="1:6">
      <c r="A63" s="1291" t="s">
        <v>48</v>
      </c>
      <c r="B63" s="1291" t="s">
        <v>28</v>
      </c>
      <c r="C63" s="1292">
        <v>26</v>
      </c>
      <c r="D63" s="1292">
        <v>872766.94150994695</v>
      </c>
      <c r="E63" s="1292">
        <v>50</v>
      </c>
      <c r="F63" s="1292">
        <v>906131.66782026901</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3</v>
      </c>
      <c r="F66" s="1292">
        <v>17504</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10351428</v>
      </c>
      <c r="E73" s="443"/>
      <c r="F73" s="324"/>
    </row>
    <row r="74" spans="1:6">
      <c r="A74" s="1291" t="s">
        <v>63</v>
      </c>
      <c r="B74" s="1291" t="s">
        <v>648</v>
      </c>
      <c r="C74" s="1305" t="s">
        <v>650</v>
      </c>
      <c r="D74" s="1306">
        <v>727634.5</v>
      </c>
      <c r="E74" s="443"/>
      <c r="F74" s="324"/>
    </row>
    <row r="75" spans="1:6">
      <c r="A75" s="1291" t="s">
        <v>64</v>
      </c>
      <c r="B75" s="1291" t="s">
        <v>647</v>
      </c>
      <c r="C75" s="1305" t="s">
        <v>651</v>
      </c>
      <c r="D75" s="1306">
        <v>1800885</v>
      </c>
      <c r="E75" s="443"/>
      <c r="F75" s="324"/>
    </row>
    <row r="76" spans="1:6">
      <c r="A76" s="1291" t="s">
        <v>64</v>
      </c>
      <c r="B76" s="1291" t="s">
        <v>648</v>
      </c>
      <c r="C76" s="1305" t="s">
        <v>652</v>
      </c>
      <c r="D76" s="1306">
        <v>11473.5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50809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595.27950636205946</v>
      </c>
      <c r="C91" s="324"/>
      <c r="D91" s="324"/>
      <c r="E91" s="324"/>
      <c r="F91" s="324"/>
    </row>
    <row r="92" spans="1:6">
      <c r="A92" s="1286" t="s">
        <v>68</v>
      </c>
      <c r="B92" s="1287">
        <v>298.76479856616254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v>
      </c>
      <c r="C97" s="324"/>
      <c r="D97" s="324"/>
      <c r="E97" s="324"/>
      <c r="F97" s="324"/>
    </row>
    <row r="98" spans="1:6">
      <c r="A98" s="1291" t="s">
        <v>71</v>
      </c>
      <c r="B98" s="1292">
        <v>0</v>
      </c>
      <c r="C98" s="324"/>
      <c r="D98" s="324"/>
      <c r="E98" s="324"/>
      <c r="F98" s="324"/>
    </row>
    <row r="99" spans="1:6">
      <c r="A99" s="1291" t="s">
        <v>72</v>
      </c>
      <c r="B99" s="1292">
        <v>27</v>
      </c>
      <c r="C99" s="324"/>
      <c r="D99" s="324"/>
      <c r="E99" s="324"/>
      <c r="F99" s="324"/>
    </row>
    <row r="100" spans="1:6">
      <c r="A100" s="1291" t="s">
        <v>73</v>
      </c>
      <c r="B100" s="1292">
        <v>75</v>
      </c>
      <c r="C100" s="324"/>
      <c r="D100" s="324"/>
      <c r="E100" s="324"/>
      <c r="F100" s="324"/>
    </row>
    <row r="101" spans="1:6">
      <c r="A101" s="1291" t="s">
        <v>74</v>
      </c>
      <c r="B101" s="1292">
        <v>28</v>
      </c>
      <c r="C101" s="324"/>
      <c r="D101" s="324"/>
      <c r="E101" s="324"/>
      <c r="F101" s="324"/>
    </row>
    <row r="102" spans="1:6">
      <c r="A102" s="1291" t="s">
        <v>75</v>
      </c>
      <c r="B102" s="1292">
        <v>18</v>
      </c>
      <c r="C102" s="324"/>
      <c r="D102" s="324"/>
      <c r="E102" s="324"/>
      <c r="F102" s="324"/>
    </row>
    <row r="103" spans="1:6">
      <c r="A103" s="1291" t="s">
        <v>76</v>
      </c>
      <c r="B103" s="1292">
        <v>72</v>
      </c>
      <c r="C103" s="324"/>
      <c r="D103" s="324"/>
      <c r="E103" s="324"/>
      <c r="F103" s="324"/>
    </row>
    <row r="104" spans="1:6">
      <c r="A104" s="1291" t="s">
        <v>77</v>
      </c>
      <c r="B104" s="1292">
        <v>483</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v>
      </c>
      <c r="C123" s="1292">
        <v>6</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49</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7052.8290864780283</v>
      </c>
      <c r="C3" s="43" t="s">
        <v>169</v>
      </c>
      <c r="D3" s="43"/>
      <c r="E3" s="154"/>
      <c r="F3" s="43"/>
      <c r="G3" s="43"/>
      <c r="H3" s="43"/>
      <c r="I3" s="43"/>
      <c r="J3" s="43"/>
      <c r="K3" s="96"/>
    </row>
    <row r="4" spans="1:11">
      <c r="A4" s="352" t="s">
        <v>170</v>
      </c>
      <c r="B4" s="49">
        <f>IF(ISERROR('SEAP template'!B78+'SEAP template'!C78),0,'SEAP template'!B78+'SEAP template'!C78)</f>
        <v>894.044304928222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0.19298517233772861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129.53399999999999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129.53399999999999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0.19298517233772861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24.998141313595337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3200.6302975814501</v>
      </c>
      <c r="C5" s="17">
        <f>IF(ISERROR('Eigen informatie GS &amp; warmtenet'!B57),0,'Eigen informatie GS &amp; warmtenet'!B57)</f>
        <v>0</v>
      </c>
      <c r="D5" s="30">
        <f>(SUM(HH_hh_gas_kWh,HH_rest_gas_kWh)/1000)*0.902</f>
        <v>3094.8269474375761</v>
      </c>
      <c r="E5" s="17">
        <f>B32*B41</f>
        <v>329.07902090339815</v>
      </c>
      <c r="F5" s="17">
        <f>B36*B45</f>
        <v>8337.3872867191585</v>
      </c>
      <c r="G5" s="18"/>
      <c r="H5" s="17"/>
      <c r="I5" s="17"/>
      <c r="J5" s="17">
        <f>B35*B44+C35*C44</f>
        <v>40.118572242186545</v>
      </c>
      <c r="K5" s="17"/>
      <c r="L5" s="17"/>
      <c r="M5" s="17"/>
      <c r="N5" s="17">
        <f>B34*B43+C34*C43</f>
        <v>1234.2206406489718</v>
      </c>
      <c r="O5" s="17">
        <f>B52*B53*B54</f>
        <v>85.983333333333334</v>
      </c>
      <c r="P5" s="17">
        <f>B60*B61*B62/1000-B60*B61*B62/1000/B63</f>
        <v>76.266666666666666</v>
      </c>
    </row>
    <row r="6" spans="1:16">
      <c r="A6" s="16" t="s">
        <v>613</v>
      </c>
      <c r="B6" s="756">
        <f>kWh_PV_kleiner_dan_10kW</f>
        <v>595.27950636205946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3795.9098039435094</v>
      </c>
      <c r="C8" s="21">
        <f>C5</f>
        <v>0</v>
      </c>
      <c r="D8" s="21">
        <f>D5</f>
        <v>3094.8269474375761</v>
      </c>
      <c r="E8" s="21">
        <f>E5</f>
        <v>329.07902090339815</v>
      </c>
      <c r="F8" s="21">
        <f>F5</f>
        <v>8337.3872867191585</v>
      </c>
      <c r="G8" s="21"/>
      <c r="H8" s="21"/>
      <c r="I8" s="21"/>
      <c r="J8" s="21">
        <f>J5</f>
        <v>40.118572242186545</v>
      </c>
      <c r="K8" s="21"/>
      <c r="L8" s="21">
        <f>L5</f>
        <v>0</v>
      </c>
      <c r="M8" s="21">
        <f>M5</f>
        <v>0</v>
      </c>
      <c r="N8" s="21">
        <f>N5</f>
        <v>1234.2206406489718</v>
      </c>
      <c r="O8" s="21">
        <f>O5</f>
        <v>85.983333333333334</v>
      </c>
      <c r="P8" s="21">
        <f>P5</f>
        <v>76.266666666666666</v>
      </c>
    </row>
    <row r="9" spans="1:16">
      <c r="B9" s="19"/>
      <c r="C9" s="19"/>
      <c r="D9" s="254"/>
      <c r="E9" s="19"/>
      <c r="F9" s="19"/>
      <c r="G9" s="19"/>
      <c r="H9" s="19"/>
      <c r="I9" s="19"/>
      <c r="J9" s="19"/>
      <c r="K9" s="19"/>
      <c r="L9" s="19"/>
      <c r="M9" s="19"/>
      <c r="N9" s="19"/>
      <c r="O9" s="19"/>
      <c r="P9" s="19"/>
    </row>
    <row r="10" spans="1:16">
      <c r="A10" s="24" t="s">
        <v>213</v>
      </c>
      <c r="B10" s="25">
        <f ca="1">'EF ele_warmte'!B12</f>
        <v>0.19298517233772861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732.55430769251177</v>
      </c>
      <c r="C12" s="23">
        <f ca="1">C10*C8</f>
        <v>0</v>
      </c>
      <c r="D12" s="23">
        <f>D8*D10</f>
        <v>625.15504338239043</v>
      </c>
      <c r="E12" s="23">
        <f>E10*E8</f>
        <v>74.700937745071386</v>
      </c>
      <c r="F12" s="23">
        <f>F10*F8</f>
        <v>2226.0824055540156</v>
      </c>
      <c r="G12" s="23"/>
      <c r="H12" s="23"/>
      <c r="I12" s="23"/>
      <c r="J12" s="23">
        <f>J10*J8</f>
        <v>14.201974573734036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755</v>
      </c>
      <c r="C26" s="36"/>
      <c r="D26" s="225"/>
    </row>
    <row r="27" spans="1:5" s="15" customFormat="1">
      <c r="A27" s="227" t="s">
        <v>768</v>
      </c>
      <c r="B27" s="37">
        <f>SUM(HH_hh_gas_aantal,HH_rest_gas_aantal)</f>
        <v>195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185.25</v>
      </c>
      <c r="C31" s="34" t="s">
        <v>110</v>
      </c>
      <c r="D31" s="171"/>
    </row>
    <row r="32" spans="1:5">
      <c r="A32" s="168" t="s">
        <v>72</v>
      </c>
      <c r="B32" s="33">
        <f>IF((B21*($B$26-($B$27-0.05*$B$27)-$B$60))&lt;0,0,B21*($B$26-($B$27-0.05*$B$27)-$B$60))</f>
        <v>6.2235296498789507</v>
      </c>
      <c r="C32" s="34" t="s">
        <v>110</v>
      </c>
      <c r="D32" s="171"/>
    </row>
    <row r="33" spans="1:6">
      <c r="A33" s="168" t="s">
        <v>73</v>
      </c>
      <c r="B33" s="33">
        <f>IF((B22*($B$26-($B$27-0.05*$B$27)-$B$60))&lt;0,0,B22*($B$26-($B$27-0.05*$B$27)-$B$60))</f>
        <v>129.39240775001772</v>
      </c>
      <c r="C33" s="34" t="s">
        <v>110</v>
      </c>
      <c r="D33" s="171"/>
    </row>
    <row r="34" spans="1:6">
      <c r="A34" s="168" t="s">
        <v>74</v>
      </c>
      <c r="B34" s="33">
        <f>IF((B24*($B$26-($B$27-0.05*$B$27)-$B$60))&lt;0,0,B24*($B$26-($B$27-0.05*$B$27)-$B$60))</f>
        <v>25.731550085912712</v>
      </c>
      <c r="C34" s="33">
        <f>B26*C24</f>
        <v>154.54514185924828</v>
      </c>
      <c r="D34" s="230"/>
    </row>
    <row r="35" spans="1:6">
      <c r="A35" s="168" t="s">
        <v>76</v>
      </c>
      <c r="B35" s="33">
        <f>IF((B19*($B$26-($B$27-0.05*$B$27)-$B$60))&lt;0,0,B19*($B$26-($B$27-0.05*$B$27)-$B$60))</f>
        <v>4.7105408575398684</v>
      </c>
      <c r="C35" s="33">
        <f>B35/2</f>
        <v>2.3552704287699342</v>
      </c>
      <c r="D35" s="230"/>
    </row>
    <row r="36" spans="1:6">
      <c r="A36" s="168" t="s">
        <v>77</v>
      </c>
      <c r="B36" s="33">
        <f>IF((B18*($B$26-($B$27-0.05*$B$27)-$B$60))&lt;0,0,B18*($B$26-($B$27-0.05*$B$27)-$B$60))</f>
        <v>399.69197165665076</v>
      </c>
      <c r="C36" s="34" t="s">
        <v>110</v>
      </c>
      <c r="D36" s="171"/>
    </row>
    <row r="37" spans="1:6">
      <c r="A37" s="168" t="s">
        <v>78</v>
      </c>
      <c r="B37" s="33">
        <f>B60</f>
        <v>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2454.4647279755691</v>
      </c>
      <c r="C5" s="17">
        <f>IF(ISERROR('Eigen informatie GS &amp; warmtenet'!B58),0,'Eigen informatie GS &amp; warmtenet'!B58)</f>
        <v>0</v>
      </c>
      <c r="D5" s="30">
        <f>SUM(D6:D12)</f>
        <v>2061.6668127373796</v>
      </c>
      <c r="E5" s="17">
        <f>SUM(E6:E12)</f>
        <v>59.316210633108504</v>
      </c>
      <c r="F5" s="17">
        <f>SUM(F6:F12)</f>
        <v>440.99068253158396</v>
      </c>
      <c r="G5" s="18"/>
      <c r="H5" s="17"/>
      <c r="I5" s="17"/>
      <c r="J5" s="17">
        <f>SUM(J6:J12)</f>
        <v>2.50568045637364E-3</v>
      </c>
      <c r="K5" s="17"/>
      <c r="L5" s="17"/>
      <c r="M5" s="17"/>
      <c r="N5" s="17">
        <f>SUM(N6:N12)</f>
        <v>102.35079871792392</v>
      </c>
      <c r="O5" s="17">
        <f>B38*B39*B40</f>
        <v>0</v>
      </c>
      <c r="P5" s="17">
        <f>B46*B47*B48/1000-B46*B47*B48/1000/B49</f>
        <v>0</v>
      </c>
      <c r="R5" s="32"/>
    </row>
    <row r="6" spans="1:18">
      <c r="A6" s="32" t="s">
        <v>53</v>
      </c>
      <c r="B6" s="37">
        <f>B26</f>
        <v>84.071024706104197</v>
      </c>
      <c r="C6" s="33"/>
      <c r="D6" s="37">
        <f>IF(ISERROR(TER_kantoor_gas_kWh/1000),0,TER_kantoor_gas_kWh/1000)*0.902</f>
        <v>0</v>
      </c>
      <c r="E6" s="33">
        <f>$C$26*'E Balans VL '!I12/100/3.6*1000000</f>
        <v>5.269292212731015E-4</v>
      </c>
      <c r="F6" s="33">
        <f>$C$26*('E Balans VL '!L12+'E Balans VL '!N12)/100/3.6*1000000</f>
        <v>12.633525844848135</v>
      </c>
      <c r="G6" s="34"/>
      <c r="H6" s="33"/>
      <c r="I6" s="33"/>
      <c r="J6" s="33">
        <f>$C$26*('E Balans VL '!D12+'E Balans VL '!E12)/100/3.6*1000000</f>
        <v>0</v>
      </c>
      <c r="K6" s="33"/>
      <c r="L6" s="33"/>
      <c r="M6" s="33"/>
      <c r="N6" s="33">
        <f>$C$26*'E Balans VL '!Y12/100/3.6*1000000</f>
        <v>8.0401470234026218E-2</v>
      </c>
      <c r="O6" s="33"/>
      <c r="P6" s="33"/>
      <c r="R6" s="32"/>
    </row>
    <row r="7" spans="1:18">
      <c r="A7" s="32" t="s">
        <v>52</v>
      </c>
      <c r="B7" s="37">
        <f t="shared" ref="B7:B12" si="0">B27</f>
        <v>148.49238593816301</v>
      </c>
      <c r="C7" s="33"/>
      <c r="D7" s="37">
        <f>IF(ISERROR(TER_horeca_gas_kWh/1000),0,TER_horeca_gas_kWh/1000)*0.902</f>
        <v>45.73759749669231</v>
      </c>
      <c r="E7" s="33">
        <f>$C$27*'E Balans VL '!I9/100/3.6*1000000</f>
        <v>2.1263862325246916</v>
      </c>
      <c r="F7" s="33">
        <f>$C$27*('E Balans VL '!L9+'E Balans VL '!N9)/100/3.6*1000000</f>
        <v>18.804033527338849</v>
      </c>
      <c r="G7" s="34"/>
      <c r="H7" s="33"/>
      <c r="I7" s="33"/>
      <c r="J7" s="33">
        <f>$C$27*('E Balans VL '!D9+'E Balans VL '!E9)/100/3.6*1000000</f>
        <v>0</v>
      </c>
      <c r="K7" s="33"/>
      <c r="L7" s="33"/>
      <c r="M7" s="33"/>
      <c r="N7" s="33">
        <f>$C$27*'E Balans VL '!Y9/100/3.6*1000000</f>
        <v>4.2688286981148946E-2</v>
      </c>
      <c r="O7" s="33"/>
      <c r="P7" s="33"/>
      <c r="R7" s="32"/>
    </row>
    <row r="8" spans="1:18">
      <c r="A8" s="6" t="s">
        <v>51</v>
      </c>
      <c r="B8" s="37">
        <f t="shared" si="0"/>
        <v>1265.9995962451401</v>
      </c>
      <c r="C8" s="33"/>
      <c r="D8" s="37">
        <f>IF(ISERROR(TER_handel_gas_kWh/1000),0,TER_handel_gas_kWh/1000)*0.902</f>
        <v>89.627580764030327</v>
      </c>
      <c r="E8" s="33">
        <f>$C$28*'E Balans VL '!I13/100/3.6*1000000</f>
        <v>45.917649239735262</v>
      </c>
      <c r="F8" s="33">
        <f>$C$28*('E Balans VL '!L13+'E Balans VL '!N13)/100/3.6*1000000</f>
        <v>243.84434129773638</v>
      </c>
      <c r="G8" s="34"/>
      <c r="H8" s="33"/>
      <c r="I8" s="33"/>
      <c r="J8" s="33">
        <f>$C$28*('E Balans VL '!D13+'E Balans VL '!E13)/100/3.6*1000000</f>
        <v>0</v>
      </c>
      <c r="K8" s="33"/>
      <c r="L8" s="33"/>
      <c r="M8" s="33"/>
      <c r="N8" s="33">
        <f>$C$28*'E Balans VL '!Y13/100/3.6*1000000</f>
        <v>1.7537007343153135</v>
      </c>
      <c r="O8" s="33"/>
      <c r="P8" s="33"/>
      <c r="R8" s="32"/>
    </row>
    <row r="9" spans="1:18">
      <c r="A9" s="32" t="s">
        <v>50</v>
      </c>
      <c r="B9" s="37">
        <f t="shared" si="0"/>
        <v>35.421089584495</v>
      </c>
      <c r="C9" s="33"/>
      <c r="D9" s="37">
        <f>IF(ISERROR(TER_gezond_gas_kWh/1000),0,TER_gezond_gas_kWh/1000)*0.902</f>
        <v>1139.0658532346849</v>
      </c>
      <c r="E9" s="33">
        <f>$C$29*'E Balans VL '!I10/100/3.6*1000000</f>
        <v>2.2177099280684489E-3</v>
      </c>
      <c r="F9" s="33">
        <f>$C$29*('E Balans VL '!L10+'E Balans VL '!N10)/100/3.6*1000000</f>
        <v>5.2619107047237179</v>
      </c>
      <c r="G9" s="34"/>
      <c r="H9" s="33"/>
      <c r="I9" s="33"/>
      <c r="J9" s="33">
        <f>$C$29*('E Balans VL '!D10+'E Balans VL '!E10)/100/3.6*1000000</f>
        <v>0</v>
      </c>
      <c r="K9" s="33"/>
      <c r="L9" s="33"/>
      <c r="M9" s="33"/>
      <c r="N9" s="33">
        <f>$C$29*'E Balans VL '!Y10/100/3.6*1000000</f>
        <v>0.54789683153595592</v>
      </c>
      <c r="O9" s="33"/>
      <c r="P9" s="33"/>
      <c r="R9" s="32"/>
    </row>
    <row r="10" spans="1:18">
      <c r="A10" s="32" t="s">
        <v>49</v>
      </c>
      <c r="B10" s="37">
        <f t="shared" si="0"/>
        <v>14.348963681397999</v>
      </c>
      <c r="C10" s="33"/>
      <c r="D10" s="37">
        <f>IF(ISERROR(TER_ander_gas_kWh/1000),0,TER_ander_gas_kWh/1000)*0.902</f>
        <v>0</v>
      </c>
      <c r="E10" s="33">
        <f>$C$30*'E Balans VL '!I14/100/3.6*1000000</f>
        <v>1.7103451962903176E-2</v>
      </c>
      <c r="F10" s="33">
        <f>$C$30*('E Balans VL '!L14+'E Balans VL '!N14)/100/3.6*1000000</f>
        <v>3.7543268038759421</v>
      </c>
      <c r="G10" s="34"/>
      <c r="H10" s="33"/>
      <c r="I10" s="33"/>
      <c r="J10" s="33">
        <f>$C$30*('E Balans VL '!D14+'E Balans VL '!E14)/100/3.6*1000000</f>
        <v>3.1145975513859238E-4</v>
      </c>
      <c r="K10" s="33"/>
      <c r="L10" s="33"/>
      <c r="M10" s="33"/>
      <c r="N10" s="33">
        <f>$C$30*'E Balans VL '!Y14/100/3.6*1000000</f>
        <v>12.184788844044181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906.13166782026906</v>
      </c>
      <c r="C12" s="33"/>
      <c r="D12" s="37">
        <f>IF(ISERROR(TER_rest_gas_kWh/1000),0,TER_rest_gas_kWh/1000)*0.902</f>
        <v>787.23578124197218</v>
      </c>
      <c r="E12" s="33">
        <f>$C$32*'E Balans VL '!I8/100/3.6*1000000</f>
        <v>11.252327069736301</v>
      </c>
      <c r="F12" s="33">
        <f>$C$32*('E Balans VL '!L8+'E Balans VL '!N8)/100/3.6*1000000</f>
        <v>156.69254435306098</v>
      </c>
      <c r="G12" s="34"/>
      <c r="H12" s="33"/>
      <c r="I12" s="33"/>
      <c r="J12" s="33">
        <f>$C$32*('E Balans VL '!D8+'E Balans VL '!E8)/100/3.6*1000000</f>
        <v>2.1942207012350477E-3</v>
      </c>
      <c r="K12" s="33"/>
      <c r="L12" s="33"/>
      <c r="M12" s="33"/>
      <c r="N12" s="33">
        <f>$C$32*'E Balans VL '!Y8/100/3.6*1000000</f>
        <v>87.741322550813294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2454.4647279755691</v>
      </c>
      <c r="C16" s="21">
        <f t="shared" ca="1" si="1"/>
        <v>0</v>
      </c>
      <c r="D16" s="21">
        <f t="shared" ca="1" si="1"/>
        <v>2061.6668127373796</v>
      </c>
      <c r="E16" s="21">
        <f t="shared" si="1"/>
        <v>59.316210633108504</v>
      </c>
      <c r="F16" s="21">
        <f t="shared" ca="1" si="1"/>
        <v>440.99068253158396</v>
      </c>
      <c r="G16" s="21">
        <f t="shared" si="1"/>
        <v>0</v>
      </c>
      <c r="H16" s="21">
        <f t="shared" si="1"/>
        <v>0</v>
      </c>
      <c r="I16" s="21">
        <f t="shared" si="1"/>
        <v>0</v>
      </c>
      <c r="J16" s="21">
        <f t="shared" si="1"/>
        <v>2.50568045637364E-3</v>
      </c>
      <c r="K16" s="21">
        <f t="shared" si="1"/>
        <v>0</v>
      </c>
      <c r="L16" s="21">
        <f t="shared" ca="1" si="1"/>
        <v>0</v>
      </c>
      <c r="M16" s="21">
        <f t="shared" si="1"/>
        <v>0</v>
      </c>
      <c r="N16" s="21">
        <f t="shared" ca="1" si="1"/>
        <v>102.35079871792392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0.19298517233772861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473.67529852524137</v>
      </c>
      <c r="C20" s="23">
        <f t="shared" ref="C20:P20" ca="1" si="2">C16*C18</f>
        <v>0</v>
      </c>
      <c r="D20" s="23">
        <f t="shared" ca="1" si="2"/>
        <v>416.45669617295073</v>
      </c>
      <c r="E20" s="23">
        <f t="shared" si="2"/>
        <v>13.46477981371563</v>
      </c>
      <c r="F20" s="23">
        <f t="shared" ca="1" si="2"/>
        <v>117.74451223593292</v>
      </c>
      <c r="G20" s="23">
        <f t="shared" si="2"/>
        <v>0</v>
      </c>
      <c r="H20" s="23">
        <f t="shared" si="2"/>
        <v>0</v>
      </c>
      <c r="I20" s="23">
        <f t="shared" si="2"/>
        <v>0</v>
      </c>
      <c r="J20" s="23">
        <f t="shared" si="2"/>
        <v>8.8701088155626856E-4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84.071024706104197</v>
      </c>
      <c r="C26" s="39">
        <f>IF(ISERROR(B26*3.6/1000000/'E Balans VL '!Z12*100),0,B26*3.6/1000000/'E Balans VL '!Z12*100)</f>
        <v>1.7771282830263441E-3</v>
      </c>
      <c r="D26" s="233" t="s">
        <v>732</v>
      </c>
      <c r="F26" s="6"/>
    </row>
    <row r="27" spans="1:18">
      <c r="A27" s="228" t="s">
        <v>52</v>
      </c>
      <c r="B27" s="33">
        <f>IF(ISERROR(TER_horeca_ele_kWh/1000),0,TER_horeca_ele_kWh/1000)</f>
        <v>148.49238593816301</v>
      </c>
      <c r="C27" s="39">
        <f>IF(ISERROR(B27*3.6/1000000/'E Balans VL '!Z9*100),0,B27*3.6/1000000/'E Balans VL '!Z9*100)</f>
        <v>1.1705599437567639E-2</v>
      </c>
      <c r="D27" s="233" t="s">
        <v>732</v>
      </c>
      <c r="F27" s="6"/>
    </row>
    <row r="28" spans="1:18">
      <c r="A28" s="168" t="s">
        <v>51</v>
      </c>
      <c r="B28" s="33">
        <f>IF(ISERROR(TER_handel_ele_kWh/1000),0,TER_handel_ele_kWh/1000)</f>
        <v>1265.9995962451401</v>
      </c>
      <c r="C28" s="39">
        <f>IF(ISERROR(B28*3.6/1000000/'E Balans VL '!Z13*100),0,B28*3.6/1000000/'E Balans VL '!Z13*100)</f>
        <v>3.6744423494593476E-2</v>
      </c>
      <c r="D28" s="233" t="s">
        <v>732</v>
      </c>
      <c r="F28" s="6"/>
    </row>
    <row r="29" spans="1:18">
      <c r="A29" s="228" t="s">
        <v>50</v>
      </c>
      <c r="B29" s="33">
        <f>IF(ISERROR(TER_gezond_ele_kWh/1000),0,TER_gezond_ele_kWh/1000)</f>
        <v>35.421089584495</v>
      </c>
      <c r="C29" s="39">
        <f>IF(ISERROR(B29*3.6/1000000/'E Balans VL '!Z10*100),0,B29*3.6/1000000/'E Balans VL '!Z10*100)</f>
        <v>3.7304223628910759E-3</v>
      </c>
      <c r="D29" s="233" t="s">
        <v>732</v>
      </c>
      <c r="F29" s="6"/>
    </row>
    <row r="30" spans="1:18">
      <c r="A30" s="228" t="s">
        <v>49</v>
      </c>
      <c r="B30" s="33">
        <f>IF(ISERROR(TER_ander_ele_kWh/1000),0,TER_ander_ele_kWh/1000)</f>
        <v>14.348963681397999</v>
      </c>
      <c r="C30" s="39">
        <f>IF(ISERROR(B30*3.6/1000000/'E Balans VL '!Z14*100),0,B30*3.6/1000000/'E Balans VL '!Z14*100)</f>
        <v>1.058382677719325E-3</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906.13166782026906</v>
      </c>
      <c r="C32" s="39">
        <f>IF(ISERROR(B32*3.6/1000000/'E Balans VL '!Z8*100),0,B32*3.6/1000000/'E Balans VL '!Z8*100)</f>
        <v>7.4562608586362768E-3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176.92008905447591</v>
      </c>
      <c r="C5" s="17">
        <f>IF(ISERROR('Eigen informatie GS &amp; warmtenet'!B59),0,'Eigen informatie GS &amp; warmtenet'!B59)</f>
        <v>0</v>
      </c>
      <c r="D5" s="30">
        <f>SUM(D6:D15)</f>
        <v>150.51914680365499</v>
      </c>
      <c r="E5" s="17">
        <f>SUM(E6:E15)</f>
        <v>19.341728745339243</v>
      </c>
      <c r="F5" s="17">
        <f>SUM(F6:F15)</f>
        <v>59.489518155236524</v>
      </c>
      <c r="G5" s="18"/>
      <c r="H5" s="17"/>
      <c r="I5" s="17"/>
      <c r="J5" s="17">
        <f>SUM(J6:J15)</f>
        <v>0.48883086640562312</v>
      </c>
      <c r="K5" s="17"/>
      <c r="L5" s="17"/>
      <c r="M5" s="17"/>
      <c r="N5" s="17">
        <f>SUM(N6:N15)</f>
        <v>12.751682589583204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40.374429024568897</v>
      </c>
      <c r="C9" s="33"/>
      <c r="D9" s="37">
        <f>IF( ISERROR(IND_andere_gas_kWh/1000),0,IND_andere_gas_kWh/1000)*0.902</f>
        <v>0</v>
      </c>
      <c r="E9" s="33">
        <f>C31*'E Balans VL '!I19/100/3.6*1000000</f>
        <v>11.802231601306737</v>
      </c>
      <c r="F9" s="33">
        <f>C31*'E Balans VL '!L19/100/3.6*1000000+C31*'E Balans VL '!N19/100/3.6*1000000</f>
        <v>32.443909784709064</v>
      </c>
      <c r="G9" s="34"/>
      <c r="H9" s="33"/>
      <c r="I9" s="33"/>
      <c r="J9" s="40">
        <f>C31*'E Balans VL '!D19/100/3.6*1000000+C31*'E Balans VL '!E19/100/3.6*1000000</f>
        <v>0</v>
      </c>
      <c r="K9" s="33"/>
      <c r="L9" s="33"/>
      <c r="M9" s="33"/>
      <c r="N9" s="33">
        <f>C31*'E Balans VL '!Y19/100/3.6*1000000</f>
        <v>3.1669153773945333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136.54566002990703</v>
      </c>
      <c r="C15" s="33"/>
      <c r="D15" s="37">
        <f>IF( ISERROR(IND_rest_gas_kWh/1000),0,IND_rest_gas_kWh/1000)*0.902</f>
        <v>150.51914680365499</v>
      </c>
      <c r="E15" s="33">
        <f>C37*'E Balans VL '!I15/100/3.6*1000000</f>
        <v>7.5394971440325058</v>
      </c>
      <c r="F15" s="33">
        <f>C37*'E Balans VL '!L15/100/3.6*1000000+C37*'E Balans VL '!N15/100/3.6*1000000</f>
        <v>27.045608370527464</v>
      </c>
      <c r="G15" s="34"/>
      <c r="H15" s="33"/>
      <c r="I15" s="33"/>
      <c r="J15" s="40">
        <f>C37*'E Balans VL '!D15/100/3.6*1000000+C37*'E Balans VL '!E15/100/3.6*1000000</f>
        <v>0.48883086640562312</v>
      </c>
      <c r="K15" s="33"/>
      <c r="L15" s="33"/>
      <c r="M15" s="33"/>
      <c r="N15" s="33">
        <f>C37*'E Balans VL '!Y15/100/3.6*1000000</f>
        <v>9.5847672121886713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176.92008905447591</v>
      </c>
      <c r="C18" s="21">
        <f>C5+C16</f>
        <v>0</v>
      </c>
      <c r="D18" s="21">
        <f>MAX((D5+D16),0)</f>
        <v>150.51914680365499</v>
      </c>
      <c r="E18" s="21">
        <f>MAX((E5+E16),0)</f>
        <v>19.341728745339243</v>
      </c>
      <c r="F18" s="21">
        <f>MAX((F5+F16),0)</f>
        <v>59.489518155236524</v>
      </c>
      <c r="G18" s="21"/>
      <c r="H18" s="21"/>
      <c r="I18" s="21"/>
      <c r="J18" s="21">
        <f>MAX((J5+J16),0)</f>
        <v>0.48883086640562312</v>
      </c>
      <c r="K18" s="21"/>
      <c r="L18" s="21">
        <f>MAX((L5+L16),0)</f>
        <v>0</v>
      </c>
      <c r="M18" s="21"/>
      <c r="N18" s="21">
        <f>MAX((N5+N16),0)</f>
        <v>12.751682589583204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0.19298517233772861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34.142953876184329</v>
      </c>
      <c r="C22" s="23">
        <f ca="1">C18*C20</f>
        <v>0</v>
      </c>
      <c r="D22" s="23">
        <f>D18*D20</f>
        <v>30.404867654338311</v>
      </c>
      <c r="E22" s="23">
        <f>E18*E20</f>
        <v>4.3905724251920084</v>
      </c>
      <c r="F22" s="23">
        <f>F18*F20</f>
        <v>15.883701347448152</v>
      </c>
      <c r="G22" s="23"/>
      <c r="H22" s="23"/>
      <c r="I22" s="23"/>
      <c r="J22" s="23">
        <f>J18*J20</f>
        <v>0.17304612670759056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40.374429024568897</v>
      </c>
      <c r="C31" s="39">
        <f>IF(ISERROR(B31*3.6/1000000/'E Balans VL '!Z19*100),0,B31*3.6/1000000/'E Balans VL '!Z19*100)</f>
        <v>1.8312159843579979E-3</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136.54566002990703</v>
      </c>
      <c r="C37" s="39">
        <f>IF(ISERROR(B37*3.6/1000000/'E Balans VL '!Z15*100),0,B37*3.6/1000000/'E Balans VL '!Z15*100)</f>
        <v>1.0822920497560384E-3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373.94076318299062</v>
      </c>
      <c r="C5" s="17">
        <f>'Eigen informatie GS &amp; warmtenet'!B60</f>
        <v>0</v>
      </c>
      <c r="D5" s="30">
        <f>IF(ISERROR(SUM(LB_lb_gas_kWh,LB_rest_gas_kWh)/1000),0,SUM(LB_lb_gas_kWh,LB_rest_gas_kWh)/1000)*0.902</f>
        <v>16.644669305069158</v>
      </c>
      <c r="E5" s="17">
        <f>B17*'E Balans VL '!I25/3.6*1000000/100</f>
        <v>10.991261176867162</v>
      </c>
      <c r="F5" s="17">
        <f>B17*('E Balans VL '!L25/3.6*1000000+'E Balans VL '!N25/3.6*1000000)/100</f>
        <v>1557.8170127220988</v>
      </c>
      <c r="G5" s="18"/>
      <c r="H5" s="17"/>
      <c r="I5" s="17"/>
      <c r="J5" s="17">
        <f>('E Balans VL '!D25+'E Balans VL '!E25)/3.6*1000000*landbouw!B17/100</f>
        <v>54.175986115402104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373.94076318299062</v>
      </c>
      <c r="C8" s="21">
        <f>C5+C6</f>
        <v>0</v>
      </c>
      <c r="D8" s="21">
        <f>MAX((D5+D6),0)</f>
        <v>16.644669305069158</v>
      </c>
      <c r="E8" s="21">
        <f>MAX((E5+E6),0)</f>
        <v>10.991261176867162</v>
      </c>
      <c r="F8" s="21">
        <f>MAX((F5+F6),0)</f>
        <v>1557.8170127220988</v>
      </c>
      <c r="G8" s="21"/>
      <c r="H8" s="21"/>
      <c r="I8" s="21"/>
      <c r="J8" s="21">
        <f>MAX((J5+J6),0)</f>
        <v>54.175986115402104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0.19298517233772861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72.165022626971208</v>
      </c>
      <c r="C12" s="23">
        <f ca="1">C8*C10</f>
        <v>0</v>
      </c>
      <c r="D12" s="23">
        <f>D8*D10</f>
        <v>3.36222319962397</v>
      </c>
      <c r="E12" s="23">
        <f>E8*E10</f>
        <v>2.4950162871488462</v>
      </c>
      <c r="F12" s="23">
        <f>F8*F10</f>
        <v>415.93714239680037</v>
      </c>
      <c r="G12" s="23"/>
      <c r="H12" s="23"/>
      <c r="I12" s="23"/>
      <c r="J12" s="23">
        <f>J8*J10</f>
        <v>19.178299084852345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5.3063367499031795E-2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92.221907195756231</v>
      </c>
      <c r="C26" s="243">
        <f>B26*'GWP N2O_CH4'!B5</f>
        <v>1936.6600511108809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15.543788659565045</v>
      </c>
      <c r="C27" s="243">
        <f>B27*'GWP N2O_CH4'!B5</f>
        <v>326.41956185086593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1.2453381793313378</v>
      </c>
      <c r="C28" s="243">
        <f>B28*'GWP N2O_CH4'!B4</f>
        <v>386.05483559271471</v>
      </c>
      <c r="D28" s="50"/>
    </row>
    <row r="29" spans="1:4">
      <c r="A29" s="41" t="s">
        <v>271</v>
      </c>
      <c r="B29" s="243">
        <f>B34*'ha_N2O bodem landbouw'!B4</f>
        <v>4.893668705592229</v>
      </c>
      <c r="C29" s="243">
        <f>B29*'GWP N2O_CH4'!B4</f>
        <v>1517.0372987335909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1.1167183342835423E-3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2.2550384382725338E-5</v>
      </c>
      <c r="C5" s="431" t="s">
        <v>210</v>
      </c>
      <c r="D5" s="416">
        <f>SUM(D6:D11)</f>
        <v>3.9529707841488887E-5</v>
      </c>
      <c r="E5" s="416">
        <f>SUM(E6:E11)</f>
        <v>6.8880906775245512E-5</v>
      </c>
      <c r="F5" s="429" t="s">
        <v>210</v>
      </c>
      <c r="G5" s="416">
        <f>SUM(G6:G11)</f>
        <v>2.7095621784270073E-2</v>
      </c>
      <c r="H5" s="416">
        <f>SUM(H6:H11)</f>
        <v>6.3567630781589139E-3</v>
      </c>
      <c r="I5" s="431" t="s">
        <v>210</v>
      </c>
      <c r="J5" s="431" t="s">
        <v>210</v>
      </c>
      <c r="K5" s="431" t="s">
        <v>210</v>
      </c>
      <c r="L5" s="431" t="s">
        <v>210</v>
      </c>
      <c r="M5" s="416">
        <f>SUM(M6:M11)</f>
        <v>1.7702195116237156E-3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1.8156882265500027E-5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3.05249119634474E-5</v>
      </c>
      <c r="E6" s="859">
        <f>vkm_GW_PW*SUMIFS(TableVerdeelsleutelVkm[LPG],TableVerdeelsleutelVkm[Voertuigtype],"Lichte voertuigen")*SUMIFS(TableECFTransport[EnergieConsumptieFactor (PJ per km)],TableECFTransport[Index],CONCATENATE($A6,"_LPG_LPG"))</f>
        <v>5.3708844100489533E-5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1.5935258538763469E-2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4.9317147545413359E-3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1.0762182470759611E-3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2.128224874213757E-7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6.8359473840606134E-3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1.1153249235494645E-7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3.9939394377839431E-4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4.1773237982574251E-6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9.0047958780414888E-6</v>
      </c>
      <c r="E8" s="419">
        <f>vkm_NGW_PW*SUMIFS(TableVerdeelsleutelVkm[LPG],TableVerdeelsleutelVkm[Voertuigtype],"Lichte voertuigen")*SUMIFS(TableECFTransport[EnergieConsumptieFactor (PJ per km)],TableECFTransport[Index],CONCATENATE($A8,"_LPG_LPG"))</f>
        <v>1.5172062674755983E-5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4.1861132389357297E-3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1.4249346683672E-3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2.8652691876788876E-4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3.3558315465101697E-9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1.3830262251025808E-4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2.12275802300259E-9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8.0804020014712948E-6</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6.2639956618681492</v>
      </c>
      <c r="C14" s="21"/>
      <c r="D14" s="21">
        <f t="shared" ref="D14:M14" si="0">((D5)*10^9/3600)+D12</f>
        <v>10.980474400413581</v>
      </c>
      <c r="E14" s="21">
        <f t="shared" si="0"/>
        <v>19.133585215345978</v>
      </c>
      <c r="F14" s="21"/>
      <c r="G14" s="21">
        <f t="shared" si="0"/>
        <v>7526.5616067416877</v>
      </c>
      <c r="H14" s="21">
        <f t="shared" si="0"/>
        <v>1765.7675217108094</v>
      </c>
      <c r="I14" s="21"/>
      <c r="J14" s="21"/>
      <c r="K14" s="21"/>
      <c r="L14" s="21"/>
      <c r="M14" s="21">
        <f t="shared" si="0"/>
        <v>491.72764211769874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0.19298517233772861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1.2088582823284091</v>
      </c>
      <c r="C18" s="23"/>
      <c r="D18" s="23">
        <f t="shared" ref="D18:M18" si="1">D14*D16</f>
        <v>2.2180558288835432</v>
      </c>
      <c r="E18" s="23">
        <f t="shared" si="1"/>
        <v>4.3433238438835371</v>
      </c>
      <c r="F18" s="23"/>
      <c r="G18" s="23">
        <f t="shared" si="1"/>
        <v>2009.5919490000308</v>
      </c>
      <c r="H18" s="23">
        <f t="shared" si="1"/>
        <v>439.67611290599154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6.7016139388277899E-6</v>
      </c>
      <c r="C50" s="313">
        <f t="shared" ref="C50:P50" si="2">SUM(C51:C52)</f>
        <v>0</v>
      </c>
      <c r="D50" s="313">
        <f t="shared" si="2"/>
        <v>0</v>
      </c>
      <c r="E50" s="313">
        <f t="shared" si="2"/>
        <v>0</v>
      </c>
      <c r="F50" s="313">
        <f t="shared" si="2"/>
        <v>0</v>
      </c>
      <c r="G50" s="313">
        <f t="shared" si="2"/>
        <v>6.295501100288042E-4</v>
      </c>
      <c r="H50" s="313">
        <f t="shared" si="2"/>
        <v>0</v>
      </c>
      <c r="I50" s="313">
        <f t="shared" si="2"/>
        <v>0</v>
      </c>
      <c r="J50" s="313">
        <f t="shared" si="2"/>
        <v>0</v>
      </c>
      <c r="K50" s="313">
        <f t="shared" si="2"/>
        <v>0</v>
      </c>
      <c r="L50" s="313">
        <f t="shared" si="2"/>
        <v>0</v>
      </c>
      <c r="M50" s="313">
        <f t="shared" si="2"/>
        <v>3.6253900602264327E-5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6.7016139388277899E-6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6.295501100288042E-4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3.6253900602264327E-5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1.8615594274521639</v>
      </c>
      <c r="C54" s="21">
        <f t="shared" ref="C54:P54" si="3">(C50)*10^9/3600</f>
        <v>0</v>
      </c>
      <c r="D54" s="21">
        <f t="shared" si="3"/>
        <v>0</v>
      </c>
      <c r="E54" s="21">
        <f t="shared" si="3"/>
        <v>0</v>
      </c>
      <c r="F54" s="21">
        <f t="shared" si="3"/>
        <v>0</v>
      </c>
      <c r="G54" s="21">
        <f t="shared" si="3"/>
        <v>174.87503056355672</v>
      </c>
      <c r="H54" s="21">
        <f t="shared" si="3"/>
        <v>0</v>
      </c>
      <c r="I54" s="21">
        <f t="shared" si="3"/>
        <v>0</v>
      </c>
      <c r="J54" s="21">
        <f t="shared" si="3"/>
        <v>0</v>
      </c>
      <c r="K54" s="21">
        <f t="shared" si="3"/>
        <v>0</v>
      </c>
      <c r="L54" s="21">
        <f t="shared" si="3"/>
        <v>0</v>
      </c>
      <c r="M54" s="21">
        <f t="shared" si="3"/>
        <v>10.070527945073424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0.19298517233772861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0.35925336692377924</v>
      </c>
      <c r="C58" s="23">
        <f t="shared" ref="C58:P58" ca="1" si="4">C54*C56</f>
        <v>0</v>
      </c>
      <c r="D58" s="23">
        <f t="shared" si="4"/>
        <v>0</v>
      </c>
      <c r="E58" s="23">
        <f t="shared" si="4"/>
        <v>0</v>
      </c>
      <c r="F58" s="23">
        <f t="shared" si="4"/>
        <v>0</v>
      </c>
      <c r="G58" s="23">
        <f t="shared" si="4"/>
        <v>46.69163316046965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894.044304928222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894.044304928222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2021-06-29T15:45:14Z</dcterms:modified>
</cp:coreProperties>
</file>