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M89" i="14" s="1"/>
  <c r="M19" i="61" s="1"/>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F88" i="14" s="1"/>
  <c r="F18" i="61" s="1"/>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C9" i="18" s="1"/>
  <c r="O36" i="18"/>
  <c r="N36" i="18"/>
  <c r="B9" i="18" s="1"/>
  <c r="M36" i="18"/>
  <c r="W32" i="18"/>
  <c r="V32" i="18"/>
  <c r="N6" i="17" s="1"/>
  <c r="U32" i="18"/>
  <c r="L6" i="17" s="1"/>
  <c r="T32" i="18"/>
  <c r="S32" i="18"/>
  <c r="R32" i="18"/>
  <c r="Q32" i="18"/>
  <c r="P32" i="18"/>
  <c r="O32" i="18"/>
  <c r="C6" i="17" s="1"/>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L89" i="14"/>
  <c r="L19" i="61" s="1"/>
  <c r="K89" i="14"/>
  <c r="K19" i="61" s="1"/>
  <c r="H89" i="14"/>
  <c r="H19" i="61" s="1"/>
  <c r="E89" i="14"/>
  <c r="E19" i="61" s="1"/>
  <c r="M88" i="14"/>
  <c r="M18" i="61" s="1"/>
  <c r="K88" i="14"/>
  <c r="K18" i="61" s="1"/>
  <c r="I88" i="14"/>
  <c r="I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J9" i="18" l="1"/>
  <c r="J77" i="14" s="1"/>
  <c r="J9" i="61" s="1"/>
  <c r="B8" i="18"/>
  <c r="B10" i="18" s="1"/>
  <c r="B45" i="18"/>
  <c r="D13" i="15"/>
  <c r="I9" i="18"/>
  <c r="I77" i="14" s="1"/>
  <c r="I9" i="61" s="1"/>
  <c r="O25" i="48"/>
  <c r="O30" i="48"/>
  <c r="O32" i="48"/>
  <c r="P25" i="48"/>
  <c r="P31" i="48"/>
  <c r="H9" i="18"/>
  <c r="F6" i="17"/>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<sst xmlns="http://schemas.openxmlformats.org/spreadsheetml/2006/main" count="2485" uniqueCount="908">
  <si>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</si>
  <si>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</si>
  <si>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</si>
  <si>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</si>
  <si>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</si>
  <si>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</si>
  <si>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</si>
  <si>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</si>
  <si>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</si>
  <si>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</si>
  <si>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</si>
  <si>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</si>
  <si>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</si>
  <si>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</si>
  <si>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</si>
  <si>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</si>
  <si>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</si>
  <si>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</si>
  <si>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</si>
  <si>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</si>
  <si>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</si>
  <si>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</si>
  <si>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</si>
  <si>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</si>
  <si>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</si>
  <si>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</si>
  <si>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</si>
  <si>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</si>
  <si>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</si>
  <si>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</si>
  <si>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</si>
  <si>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</si>
  <si>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</si>
  <si>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</si>
  <si>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</si>
  <si>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</si>
  <si>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</si>
  <si>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</si>
  <si>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</si>
  <si>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</si>
  <si>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</si>
  <si>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</si>
  <si>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</si>
  <si>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</si>
  <si>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</si>
  <si>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</si>
  <si>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</si>
  <si>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</si>
  <si>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</si>
  <si>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</si>
  <si>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</si>
  <si>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</si>
  <si>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</si>
  <si>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</si>
  <si>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</si>
  <si>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</si>
  <si>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</si>
  <si>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</si>
  <si>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</si>
  <si>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</si>
  <si>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</si>
  <si>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</si>
  <si>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</si>
  <si>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</si>
  <si>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</si>
  <si>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</si>
  <si>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</si>
  <si>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</si>
  <si>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</si>
  <si>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</si>
  <si>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</si>
  <si>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</si>
  <si>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</si>
  <si>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</si>
  <si>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</si>
  <si>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</si>
  <si>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</si>
  <si>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</si>
  <si>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</si>
  <si>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</si>
  <si>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</si>
  <si>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</si>
  <si>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</si>
  <si>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</si>
  <si>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</si>
  <si>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</si>
  <si>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</si>
  <si>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</si>
  <si>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</si>
  <si>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</si>
  <si>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</si>
  <si>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</si>
  <si>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</si>
  <si>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</si>
  <si>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</si>
  <si>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</si>
  <si>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</si>
  <si>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</si>
  <si>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</si>
  <si>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</si>
  <si>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</si>
  <si>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</si>
  <si>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</si>
  <si>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</si>
  <si>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</si>
  <si>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</si>
  <si>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</si>
  <si>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</si>
  <si>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</si>
  <si>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</si>
  <si>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</si>
  <si>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</si>
  <si>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</si>
  <si>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</si>
  <si>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</si>
  <si>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</si>
  <si>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</si>
  <si>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</si>
  <si>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</si>
  <si>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</si>
  <si>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</si>
  <si>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</si>
  <si>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</si>
  <si>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</si>
  <si>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</si>
  <si>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</si>
  <si>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</si>
  <si>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</si>
  <si>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</si>
  <si>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</si>
  <si>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</si>
  <si>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</si>
  <si>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</si>
  <si>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</si>
  <si>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</si>
  <si>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</si>
  <si>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</si>
  <si>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</si>
  <si>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</si>
  <si>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</si>
  <si>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</si>
  <si>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</si>
  <si>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</si>
  <si>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</si>
  <si>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</si>
  <si>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</si>
  <si>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</si>
  <si>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</si>
  <si>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</si>
  <si>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</si>
  <si>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</si>
  <si>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</si>
  <si>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</si>
  <si>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</si>
  <si>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</si>
  <si>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</si>
  <si>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</si>
  <si>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</si>
  <si>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</si>
  <si>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</si>
  <si>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</si>
  <si>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</si>
  <si>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</si>
  <si>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</si>
  <si>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</si>
  <si>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</si>
  <si>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</si>
  <si>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</si>
  <si>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</si>
  <si>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</si>
  <si>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</si>
  <si>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</si>
  <si>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</si>
  <si>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</si>
  <si>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</si>
  <si>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</si>
  <si>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</si>
  <si>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</si>
  <si>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</si>
  <si>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</si>
  <si>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</si>
  <si>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</si>
  <si>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</si>
  <si>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</si>
  <si>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</si>
  <si>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</si>
  <si>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</si>
  <si>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</si>
  <si>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</si>
  <si>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</si>
  <si>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</si>
  <si>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</si>
  <si>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</si>
  <si>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</si>
  <si>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</si>
  <si>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</si>
  <si>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</si>
  <si>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</si>
  <si>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</si>
  <si>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</si>
  <si>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</si>
  <si>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</si>
  <si>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</si>
  <si>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</si>
  <si>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</si>
  <si>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</si>
  <si>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</si>
  <si>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</si>
  <si>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</si>
  <si>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</si>
  <si>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</si>
  <si>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</si>
  <si>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</si>
  <si>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</si>
  <si>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</si>
  <si>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</si>
  <si>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</si>
  <si>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</si>
  <si>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</si>
  <si>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</si>
  <si>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</si>
  <si>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</si>
  <si>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</si>
  <si>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</si>
  <si>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</si>
  <si>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</si>
  <si>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</si>
  <si>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</si>
  <si>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</si>
  <si>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</si>
  <si>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</si>
  <si>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</si>
  <si>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</si>
  <si>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</si>
  <si>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</si>
  <si>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</si>
  <si>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</si>
  <si>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</si>
  <si>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</si>
  <si>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</si>
  <si>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</si>
  <si>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</si>
  <si>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</si>
  <si>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</si>
  <si>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</si>
  <si>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</si>
  <si>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</si>
  <si>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</si>
  <si>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</si>
  <si>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</si>
  <si>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</si>
  <si>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</si>
  <si>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</si>
  <si>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</si>
  <si>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</si>
  <si>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</si>
  <si>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</si>
  <si>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</si>
  <si>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</si>
  <si>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</si>
  <si>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</si>
  <si>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</si>
  <si>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</si>
  <si>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</si>
  <si>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</si>
  <si>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</si>
  <si>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</si>
  <si>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</si>
  <si>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</si>
  <si>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</si>
  <si>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</si>
  <si>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</si>
  <si>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</si>
  <si>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</si>
  <si>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</si>
  <si>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</si>
  <si>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</si>
  <si>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</si>
  <si>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</si>
  <si>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</si>
  <si>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</si>
  <si>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</si>
  <si>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</si>
  <si>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</si>
  <si>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</si>
  <si>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</si>
  <si>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</si>
  <si>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</si>
  <si>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</si>
  <si>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</si>
  <si>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</si>
  <si>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</si>
  <si>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</si>
  <si>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</si>
  <si>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</si>
  <si>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</si>
  <si>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</si>
  <si>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</si>
  <si>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</si>
  <si>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</si>
  <si>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</si>
  <si>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</si>
  <si>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</si>
  <si>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</si>
  <si>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</si>
  <si>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</si>
  <si>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</si>
  <si>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</si>
  <si>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</si>
  <si>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</si>
  <si>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</si>
  <si>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</si>
  <si>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</si>
  <si>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</si>
  <si>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</si>
  <si>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</si>
  <si>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</si>
  <si>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</si>
  <si>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</si>
  <si>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</si>
  <si>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</si>
  <si>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</si>
  <si>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</si>
  <si>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</si>
  <si>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</si>
  <si>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</si>
  <si>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</si>
  <si>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</si>
  <si>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</si>
  <si>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</si>
  <si>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</si>
  <si>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</si>
  <si>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</si>
  <si>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</si>
  <si>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</si>
  <si>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</si>
  <si>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</si>
  <si>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</si>
  <si>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</si>
  <si>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</si>
  <si>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</si>
  <si>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</si>
  <si>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</si>
  <si>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</si>
  <si>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</si>
  <si>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</si>
  <si>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</si>
  <si>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</si>
  <si>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</si>
  <si>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</si>
  <si>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</si>
  <si>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</si>
  <si>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</si>
  <si>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</si>
  <si>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</si>
  <si>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</si>
  <si>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</si>
  <si>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</si>
  <si>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</si>
  <si>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</si>
  <si>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</si>
  <si>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</si>
  <si>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</si>
  <si>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</si>
  <si>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</si>
  <si>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</si>
  <si>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</si>
  <si>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</si>
  <si>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</si>
  <si>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</si>
  <si>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</si>
  <si>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</si>
  <si>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</si>
  <si>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</si>
  <si>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</si>
  <si>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</si>
  <si>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</si>
  <si>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</si>
  <si>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</si>
  <si>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</si>
  <si>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</si>
  <si>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</si>
  <si>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</si>
  <si>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</si>
  <si>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</si>
  <si>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</si>
  <si>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</si>
  <si>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</si>
  <si>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</si>
  <si>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</si>
  <si>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</si>
  <si>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</si>
  <si>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</si>
  <si>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</si>
  <si>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</si>
  <si>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</si>
  <si>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</si>
  <si>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</si>
  <si>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</si>
  <si>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</si>
  <si>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</si>
  <si>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</si>
  <si>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</si>
  <si>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</si>
  <si>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</si>
  <si>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</si>
  <si>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</si>
  <si>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</si>
  <si>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</si>
  <si>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</si>
  <si>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</si>
  <si>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</si>
  <si>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</si>
  <si>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</si>
  <si>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</si>
  <si>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</si>
  <si>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</si>
  <si>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</si>
  <si>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</si>
  <si>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</si>
  <si>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</si>
  <si>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</si>
  <si>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</si>
  <si>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</si>
  <si>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</si>
  <si>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</si>
  <si>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</si>
  <si>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</si>
  <si>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</si>
  <si>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</si>
  <si>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</si>
  <si>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</si>
  <si>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</si>
  <si>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</si>
  <si>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</si>
  <si>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</si>
  <si>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</si>
  <si>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</si>
  <si>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</si>
  <si>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</si>
  <si>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</si>
  <si>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</si>
  <si>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</si>
  <si>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</si>
  <si>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</si>
  <si>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</si>
  <si>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</si>
  <si>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</si>
  <si>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</si>
  <si>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</si>
  <si>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</si>
  <si>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</si>
  <si>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</si>
  <si>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</si>
  <si>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</si>
  <si>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</si>
  <si>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</si>
  <si>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</si>
  <si>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</si>
  <si>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</si>
  <si>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</si>
  <si>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</si>
  <si>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</si>
  <si>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</si>
  <si>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</si>
  <si>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</si>
  <si>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</si>
  <si>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</si>
  <si>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</si>
  <si>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</si>
  <si>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</si>
  <si>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</si>
  <si>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</si>
  <si>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</si>
  <si>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</si>
  <si>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</si>
  <si>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</si>
  <si>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</si>
  <si>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</si>
  <si>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</si>
  <si>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</si>
  <si>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</si>
  <si>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</si>
  <si>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</si>
  <si>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</si>
  <si>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</si>
  <si>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</si>
  <si>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</si>
  <si>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</si>
  <si>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</si>
  <si>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</si>
  <si>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</si>
  <si>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</si>
  <si>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</si>
  <si>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</si>
  <si>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</si>
  <si>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</si>
  <si>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</si>
  <si>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</si>
  <si>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</si>
  <si>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</si>
  <si>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</si>
  <si>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</si>
  <si>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</si>
  <si>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</si>
  <si>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</si>
  <si>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</si>
  <si>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</si>
  <si>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</si>
  <si>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</si>
  <si>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</si>
  <si>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</si>
  <si>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</si>
  <si>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</si>
  <si>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</si>
  <si>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</si>
  <si>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</si>
  <si>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</si>
  <si>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</si>
  <si>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</si>
  <si>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</si>
  <si>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</si>
  <si>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</si>
  <si>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</si>
  <si>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</si>
  <si>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</si>
  <si>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</si>
  <si>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</si>
  <si>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</si>
  <si>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</si>
  <si>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</si>
  <si>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</si>
  <si>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</si>
  <si>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</si>
  <si>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</si>
  <si>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</si>
  <si>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</si>
  <si>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</si>
  <si>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</si>
  <si>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</si>
  <si>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</si>
  <si>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</si>
  <si>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</si>
  <si>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</si>
  <si>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</si>
  <si>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</si>
  <si>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</si>
  <si>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</si>
  <si>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</si>
  <si>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</si>
  <si>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</si>
  <si>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</si>
  <si>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</si>
  <si>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</si>
  <si>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</si>
  <si>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</si>
  <si>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</si>
  <si>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</si>
  <si>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</si>
  <si>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</si>
  <si>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</si>
  <si>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</si>
  <si>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</si>
  <si>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</si>
  <si>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</si>
  <si>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</si>
  <si>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</si>
  <si>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</si>
  <si>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</si>
  <si>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</si>
  <si>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</si>
  <si>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</si>
  <si>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</si>
  <si>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</si>
  <si>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</si>
  <si>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</si>
  <si>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</si>
  <si>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</si>
  <si>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</si>
  <si>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</si>
  <si>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</si>
  <si>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</si>
  <si>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</si>
  <si>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</si>
  <si>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</si>
  <si>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</si>
  <si>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</si>
  <si>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</si>
  <si>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</si>
  <si>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</si>
  <si>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</si>
  <si>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</si>
  <si>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</si>
  <si>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</si>
  <si>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</si>
  <si>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</si>
  <si>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</si>
  <si>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</si>
  <si>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</si>
  <si>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</si>
  <si>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</si>
  <si>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</si>
  <si>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</si>
  <si>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</si>
  <si>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</si>
  <si>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</si>
  <si>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</si>
  <si>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</si>
  <si>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</si>
  <si>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</si>
  <si>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</si>
  <si>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</si>
  <si>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</si>
  <si>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</si>
  <si>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</si>
  <si>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</si>
  <si>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</si>
  <si>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</si>
  <si>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</si>
  <si>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</si>
  <si>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</si>
  <si>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</si>
  <si>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</si>
  <si>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</si>
  <si>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</si>
  <si>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</si>
  <si>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</si>
  <si>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</si>
  <si>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</si>
  <si>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</si>
  <si>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</si>
  <si>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</si>
  <si>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</si>
  <si>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</si>
  <si>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</si>
  <si>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</si>
  <si>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</si>
  <si>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</si>
  <si>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</si>
  <si>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</si>
  <si>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</si>
  <si>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</si>
  <si>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</si>
  <si>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</si>
  <si>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</si>
  <si>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</si>
  <si>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</si>
  <si>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</si>
  <si>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</si>
  <si>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</si>
  <si>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</si>
  <si>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</si>
  <si>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</si>
  <si>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</si>
  <si>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</si>
  <si>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</si>
  <si>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</si>
  <si>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</si>
  <si>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</si>
  <si>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</si>
  <si>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</si>
  <si>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</si>
  <si>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</si>
  <si>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</si>
  <si>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</si>
  <si>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</si>
  <si>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</si>
  <si>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</si>
  <si>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</si>
  <si>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</si>
  <si>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</si>
  <si>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</si>
  <si>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</si>
  <si>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</si>
  <si>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</si>
  <si>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</si>
  <si>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</si>
  <si>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</si>
  <si>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</si>
  <si>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</si>
  <si>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</si>
  <si>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</si>
  <si>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</si>
  <si>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</si>
  <si>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</si>
  <si>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</si>
  <si>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</si>
  <si>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</si>
  <si>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</si>
  <si>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</si>
  <si>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</si>
  <si>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</si>
  <si>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</si>
  <si>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</si>
  <si>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</si>
  <si>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</si>
  <si>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</si>
  <si>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</si>
  <si>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</si>
  <si>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</si>
  <si>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</si>
  <si>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</si>
  <si>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</si>
  <si>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</si>
  <si>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</si>
  <si>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</si>
  <si>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</si>
  <si>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</si>
  <si>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</si>
  <si>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</si>
  <si>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</si>
  <si>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</si>
  <si>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</si>
  <si>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</si>
  <si>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</si>
  <si>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</si>
  <si>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</si>
  <si>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</si>
  <si>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</si>
  <si>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</si>
  <si>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</si>
  <si>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</si>
  <si>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</si>
  <si>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</si>
  <si>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</si>
  <si>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</si>
  <si>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</si>
  <si>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</si>
  <si>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</si>
  <si>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</si>
  <si>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</si>
  <si>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</si>
  <si>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</si>
  <si>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</si>
  <si>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</si>
  <si>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</si>
  <si>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</si>
  <si>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</si>
  <si>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</si>
  <si>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</si>
  <si>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</si>
  <si>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</si>
  <si>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</si>
  <si>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</si>
  <si>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</si>
  <si>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</si>
  <si>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</si>
  <si>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</si>
  <si>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</si>
  <si>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</si>
  <si>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</si>
  <si>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</si>
  <si>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</si>
  <si>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</si>
  <si>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</si>
  <si>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</si>
  <si>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</si>
  <si>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</si>
  <si>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</si>
  <si>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</si>
  <si>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</si>
  <si>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</si>
  <si>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</si>
  <si>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</si>
  <si>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</si>
  <si>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</si>
  <si>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</si>
  <si>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</si>
  <si>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</si>
  <si>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</si>
  <si>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</si>
  <si>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</si>
  <si>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</si>
  <si>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</si>
  <si>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</si>
  <si>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</si>
  <si>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</si>
  <si>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</si>
  <si>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</si>
  <si>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</si>
  <si>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</si>
  <si>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</si>
  <si>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</si>
  <si>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</si>
  <si>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</si>
  <si>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</si>
  <si>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</si>
  <si>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</si>
  <si>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</si>
  <si>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</si>
  <si>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</si>
  <si>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</si>
  <si>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</si>
  <si>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</si>
  <si>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</si>
  <si>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</si>
  <si>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</si>
  <si>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</si>
  <si>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</si>
  <si>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</si>
  <si>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</si>
  <si>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</si>
  <si>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</si>
  <si>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</si>
  <si>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</si>
  <si>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</si>
  <si>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</si>
  <si>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</si>
  <si>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</si>
  <si>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</si>
  <si>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</si>
  <si>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</si>
  <si>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</si>
  <si>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</si>
  <si>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</si>
  <si>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</si>
  <si>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</si>
  <si>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</si>
  <si>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</si>
  <si>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</si>
  <si>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</si>
  <si>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</si>
  <si>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</si>
  <si>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</si>
  <si>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</si>
  <si>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</si>
  <si>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</si>
  <si>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</si>
  <si>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</si>
  <si>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</si>
  <si>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</si>
  <si>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</si>
  <si>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</si>
  <si>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</si>
  <si>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</si>
  <si>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</si>
  <si>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</si>
  <si>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</si>
  <si>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</si>
  <si>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</si>
  <si>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</si>
  <si>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</si>
  <si>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</si>
  <si>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</si>
  <si>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</si>
  <si>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</si>
  <si>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</si>
  <si>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</si>
  <si>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</si>
  <si>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</si>
  <si>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</si>
  <si>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</si>
  <si>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</si>
  <si>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</si>
  <si>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</si>
  <si>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</si>
  <si>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</si>
  <si>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</si>
  <si>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</si>
  <si>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</si>
  <si>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</si>
  <si>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</si>
  <si>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</si>
  <si>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</si>
  <si>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</si>
  <si>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</si>
  <si>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</si>
  <si>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</si>
  <si>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</si>
  <si>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</si>
  <si>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</si>
  <si>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</si>
  <si>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</si>
  <si>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</si>
  <si>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</si>
  <si>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</si>
  <si>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</si>
  <si>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</si>
  <si>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</si>
  <si>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</si>
  <si>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</si>
  <si>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</si>
  <si>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</si>
  <si>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</si>
  <si>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</si>
  <si>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</si>
  <si>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</si>
  <si>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</si>
  <si>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</si>
  <si>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</si>
  <si>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</si>
  <si>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</si>
  <si>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</si>
  <si>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</si>
  <si>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</si>
  <si>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</si>
  <si>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</si>
  <si>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</si>
  <si>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45057</t>
  </si>
  <si>
    <t>ZINGEM</t>
  </si>
  <si>
    <t>Fluvius</t>
  </si>
  <si>
    <t>referentietaak LNE (2017); Jaarverslag De Lijn</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</si>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</sst>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64831.033059983471</c:v>
                </c:pt>
                <c:pt idx="1">
                  <c:v>10645.444633506992</c:v>
                </c:pt>
                <c:pt idx="2">
                  <c:v>514.47500000000002</c:v>
                </c:pt>
                <c:pt idx="3">
                  <c:v>3180.3706896878853</c:v>
                </c:pt>
                <c:pt idx="4">
                  <c:v>15456.095786589485</c:v>
                </c:pt>
                <c:pt idx="5">
                  <c:v>47079.056311875662</c:v>
                </c:pt>
                <c:pt idx="6">
                  <c:v>221.87872135264806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64831.033059983471</c:v>
                </c:pt>
                <c:pt idx="1">
                  <c:v>10645.444633506992</c:v>
                </c:pt>
                <c:pt idx="2">
                  <c:v>514.47500000000002</c:v>
                </c:pt>
                <c:pt idx="3">
                  <c:v>3180.3706896878853</c:v>
                </c:pt>
                <c:pt idx="4">
                  <c:v>15456.095786589485</c:v>
                </c:pt>
                <c:pt idx="5">
                  <c:v>47079.056311875662</c:v>
                </c:pt>
                <c:pt idx="6">
                  <c:v>221.87872135264806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13807.831765482588</c:v>
                </c:pt>
                <c:pt idx="2">
                  <c:v>2121.6062314579108</c:v>
                </c:pt>
                <c:pt idx="3">
                  <c:v>104.1852381387134</c:v>
                </c:pt>
                <c:pt idx="4">
                  <c:v>815.04601128816216</c:v>
                </c:pt>
                <c:pt idx="5">
                  <c:v>3234.2399148322747</c:v>
                </c:pt>
                <c:pt idx="6">
                  <c:v>11791.247783018844</c:v>
                </c:pt>
                <c:pt idx="7">
                  <c:v>55.905384746931198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13807.831765482588</c:v>
                </c:pt>
                <c:pt idx="2">
                  <c:v>2121.6062314579108</c:v>
                </c:pt>
                <c:pt idx="3">
                  <c:v>104.1852381387134</c:v>
                </c:pt>
                <c:pt idx="4">
                  <c:v>815.04601128816216</c:v>
                </c:pt>
                <c:pt idx="5">
                  <c:v>3234.2399148322747</c:v>
                </c:pt>
                <c:pt idx="6">
                  <c:v>11791.247783018844</c:v>
                </c:pt>
                <c:pt idx="7">
                  <c:v>55.905384746931198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45057</v>
      </c>
      <c r="B6" s="384"/>
      <c r="C6" s="385"/>
    </row>
    <row r="7" spans="1:7" s="382" customFormat="1" ht="15.75" customHeight="1">
      <c r="A7" s="386" t="str">
        <f>txtMunicipality</f>
        <v>ZINGEM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5810.9629959478498</v>
      </c>
      <c r="D10" s="973">
        <f ca="1">tertiair!C16</f>
        <v>34.071428571428577</v>
      </c>
      <c r="E10" s="973">
        <f ca="1">tertiair!D16</f>
        <v>3862.6354290817185</v>
      </c>
      <c r="F10" s="973">
        <f>tertiair!E16</f>
        <v>88.840464526111973</v>
      </c>
      <c r="G10" s="973">
        <f ca="1">tertiair!F16</f>
        <v>900.77163449602472</v>
      </c>
      <c r="H10" s="973">
        <f>tertiair!G16</f>
        <v>0</v>
      </c>
      <c r="I10" s="973">
        <f>tertiair!H16</f>
        <v>0</v>
      </c>
      <c r="J10" s="973">
        <f>tertiair!I16</f>
        <v>0</v>
      </c>
      <c r="K10" s="973">
        <f>tertiair!J16</f>
        <v>1.0078767205090176E-2</v>
      </c>
      <c r="L10" s="973">
        <f>tertiair!K16</f>
        <v>0</v>
      </c>
      <c r="M10" s="973">
        <f ca="1">tertiair!L16</f>
        <v>0</v>
      </c>
      <c r="N10" s="973">
        <f>tertiair!M16</f>
        <v>0</v>
      </c>
      <c r="O10" s="973">
        <f ca="1">tertiair!N16</f>
        <v>402.30093544998459</v>
      </c>
      <c r="P10" s="973">
        <f>tertiair!O16</f>
        <v>3.1266666666666669</v>
      </c>
      <c r="Q10" s="974">
        <f>tertiair!P16</f>
        <v>57.2</v>
      </c>
      <c r="R10" s="668">
        <f ca="1">SUM(C10:Q10)</f>
        <v>11159.919633506992</v>
      </c>
      <c r="S10" s="67"/>
    </row>
    <row r="11" spans="1:19" s="441" customFormat="1">
      <c r="A11" s="777" t="s">
        <v>219</v>
      </c>
      <c r="B11" s="782"/>
      <c r="C11" s="973">
        <f>huishoudens!B8</f>
        <v>13938.299837374145</v>
      </c>
      <c r="D11" s="973">
        <f>huishoudens!C8</f>
        <v>0</v>
      </c>
      <c r="E11" s="973">
        <f>huishoudens!D8</f>
        <v>17208.87955682859</v>
      </c>
      <c r="F11" s="973">
        <f>huishoudens!E8</f>
        <v>1067.4200817672574</v>
      </c>
      <c r="G11" s="973">
        <f>huishoudens!F8</f>
        <v>27043.640141154796</v>
      </c>
      <c r="H11" s="973">
        <f>huishoudens!G8</f>
        <v>0</v>
      </c>
      <c r="I11" s="973">
        <f>huishoudens!H8</f>
        <v>0</v>
      </c>
      <c r="J11" s="973">
        <f>huishoudens!I8</f>
        <v>0</v>
      </c>
      <c r="K11" s="973">
        <f>huishoudens!J8</f>
        <v>130.13096230072739</v>
      </c>
      <c r="L11" s="973">
        <f>huishoudens!K8</f>
        <v>0</v>
      </c>
      <c r="M11" s="973">
        <f>huishoudens!L8</f>
        <v>0</v>
      </c>
      <c r="N11" s="973">
        <f>huishoudens!M8</f>
        <v>0</v>
      </c>
      <c r="O11" s="973">
        <f>huishoudens!N8</f>
        <v>4759.3291472246265</v>
      </c>
      <c r="P11" s="973">
        <f>huishoudens!O8</f>
        <v>187.6</v>
      </c>
      <c r="Q11" s="974">
        <f>huishoudens!P8</f>
        <v>495.73333333333335</v>
      </c>
      <c r="R11" s="668">
        <f>SUM(C11:Q11)</f>
        <v>64831.033059983471</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5583.7643773427108</v>
      </c>
      <c r="D13" s="973">
        <f>industrie!C18</f>
        <v>0</v>
      </c>
      <c r="E13" s="973">
        <f>industrie!D18</f>
        <v>5975.8283012605989</v>
      </c>
      <c r="F13" s="973">
        <f>industrie!E18</f>
        <v>887.82229813494132</v>
      </c>
      <c r="G13" s="973">
        <f>industrie!F18</f>
        <v>2590.3082953880362</v>
      </c>
      <c r="H13" s="973">
        <f>industrie!G18</f>
        <v>0</v>
      </c>
      <c r="I13" s="973">
        <f>industrie!H18</f>
        <v>0</v>
      </c>
      <c r="J13" s="973">
        <f>industrie!I18</f>
        <v>0</v>
      </c>
      <c r="K13" s="973">
        <f>industrie!J18</f>
        <v>9.0914466725974048</v>
      </c>
      <c r="L13" s="973">
        <f>industrie!K18</f>
        <v>0</v>
      </c>
      <c r="M13" s="973">
        <f>industrie!L18</f>
        <v>0</v>
      </c>
      <c r="N13" s="973">
        <f>industrie!M18</f>
        <v>0</v>
      </c>
      <c r="O13" s="973">
        <f>industrie!N18</f>
        <v>409.2810677906017</v>
      </c>
      <c r="P13" s="973">
        <f>industrie!O18</f>
        <v>0</v>
      </c>
      <c r="Q13" s="974">
        <f>industrie!P18</f>
        <v>0</v>
      </c>
      <c r="R13" s="668">
        <f>SUM(C13:Q13)</f>
        <v>15456.095786589485</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25333.027210664706</v>
      </c>
      <c r="D16" s="700">
        <f t="shared" ref="D16:R16" ca="1" si="0">SUM(D9:D15)</f>
        <v>34.071428571428577</v>
      </c>
      <c r="E16" s="700">
        <f t="shared" ca="1" si="0"/>
        <v>27047.343287170908</v>
      </c>
      <c r="F16" s="700">
        <f t="shared" si="0"/>
        <v>2044.0828444283106</v>
      </c>
      <c r="G16" s="700">
        <f t="shared" ca="1" si="0"/>
        <v>30534.720071038857</v>
      </c>
      <c r="H16" s="700">
        <f t="shared" si="0"/>
        <v>0</v>
      </c>
      <c r="I16" s="700">
        <f t="shared" si="0"/>
        <v>0</v>
      </c>
      <c r="J16" s="700">
        <f t="shared" si="0"/>
        <v>0</v>
      </c>
      <c r="K16" s="700">
        <f t="shared" si="0"/>
        <v>139.2324877405299</v>
      </c>
      <c r="L16" s="700">
        <f t="shared" si="0"/>
        <v>0</v>
      </c>
      <c r="M16" s="700">
        <f t="shared" ca="1" si="0"/>
        <v>0</v>
      </c>
      <c r="N16" s="700">
        <f t="shared" si="0"/>
        <v>0</v>
      </c>
      <c r="O16" s="700">
        <f t="shared" ca="1" si="0"/>
        <v>5570.9111504652128</v>
      </c>
      <c r="P16" s="700">
        <f t="shared" si="0"/>
        <v>190.72666666666666</v>
      </c>
      <c r="Q16" s="700">
        <f t="shared" si="0"/>
        <v>552.93333333333339</v>
      </c>
      <c r="R16" s="700">
        <f t="shared" ca="1" si="0"/>
        <v>91447.048480079946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2.2110529301478707</v>
      </c>
      <c r="D19" s="973">
        <f>transport!C54</f>
        <v>0</v>
      </c>
      <c r="E19" s="973">
        <f>transport!D54</f>
        <v>0</v>
      </c>
      <c r="F19" s="973">
        <f>transport!E54</f>
        <v>0</v>
      </c>
      <c r="G19" s="973">
        <f>transport!F54</f>
        <v>0</v>
      </c>
      <c r="H19" s="973">
        <f>transport!G54</f>
        <v>207.70647610560178</v>
      </c>
      <c r="I19" s="973">
        <f>transport!H54</f>
        <v>0</v>
      </c>
      <c r="J19" s="973">
        <f>transport!I54</f>
        <v>0</v>
      </c>
      <c r="K19" s="973">
        <f>transport!J54</f>
        <v>0</v>
      </c>
      <c r="L19" s="973">
        <f>transport!K54</f>
        <v>0</v>
      </c>
      <c r="M19" s="973">
        <f>transport!L54</f>
        <v>0</v>
      </c>
      <c r="N19" s="973">
        <f>transport!M54</f>
        <v>11.961192316898401</v>
      </c>
      <c r="O19" s="973">
        <f>transport!N54</f>
        <v>0</v>
      </c>
      <c r="P19" s="973">
        <f>transport!O54</f>
        <v>0</v>
      </c>
      <c r="Q19" s="974">
        <f>transport!P54</f>
        <v>0</v>
      </c>
      <c r="R19" s="668">
        <f>SUM(C19:Q19)</f>
        <v>221.87872135264806</v>
      </c>
      <c r="S19" s="67"/>
    </row>
    <row r="20" spans="1:19" s="441" customFormat="1">
      <c r="A20" s="777" t="s">
        <v>301</v>
      </c>
      <c r="B20" s="782"/>
      <c r="C20" s="973">
        <f>transport!B14</f>
        <v>26.535364568427251</v>
      </c>
      <c r="D20" s="973">
        <f>transport!C14</f>
        <v>0</v>
      </c>
      <c r="E20" s="973">
        <f>transport!D14</f>
        <v>46.138694854506149</v>
      </c>
      <c r="F20" s="973">
        <f>transport!E14</f>
        <v>80.424659125229553</v>
      </c>
      <c r="G20" s="973">
        <f>transport!F14</f>
        <v>0</v>
      </c>
      <c r="H20" s="973">
        <f>transport!G14</f>
        <v>37117.984653436994</v>
      </c>
      <c r="I20" s="973">
        <f>transport!H14</f>
        <v>7420.8668526986576</v>
      </c>
      <c r="J20" s="973">
        <f>transport!I14</f>
        <v>0</v>
      </c>
      <c r="K20" s="973">
        <f>transport!J14</f>
        <v>0</v>
      </c>
      <c r="L20" s="973">
        <f>transport!K14</f>
        <v>0</v>
      </c>
      <c r="M20" s="973">
        <f>transport!L14</f>
        <v>0</v>
      </c>
      <c r="N20" s="973">
        <f>transport!M14</f>
        <v>2387.1060871918421</v>
      </c>
      <c r="O20" s="973">
        <f>transport!N14</f>
        <v>0</v>
      </c>
      <c r="P20" s="973">
        <f>transport!O14</f>
        <v>0</v>
      </c>
      <c r="Q20" s="974">
        <f>transport!P14</f>
        <v>0</v>
      </c>
      <c r="R20" s="668">
        <f>SUM(C20:Q20)</f>
        <v>47079.056311875662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28.746417498575124</v>
      </c>
      <c r="D22" s="780">
        <f t="shared" ref="D22:R22" si="1">SUM(D18:D21)</f>
        <v>0</v>
      </c>
      <c r="E22" s="780">
        <f t="shared" si="1"/>
        <v>46.138694854506149</v>
      </c>
      <c r="F22" s="780">
        <f t="shared" si="1"/>
        <v>80.424659125229553</v>
      </c>
      <c r="G22" s="780">
        <f t="shared" si="1"/>
        <v>0</v>
      </c>
      <c r="H22" s="780">
        <f t="shared" si="1"/>
        <v>37325.691129542596</v>
      </c>
      <c r="I22" s="780">
        <f t="shared" si="1"/>
        <v>7420.8668526986576</v>
      </c>
      <c r="J22" s="780">
        <f t="shared" si="1"/>
        <v>0</v>
      </c>
      <c r="K22" s="780">
        <f t="shared" si="1"/>
        <v>0</v>
      </c>
      <c r="L22" s="780">
        <f t="shared" si="1"/>
        <v>0</v>
      </c>
      <c r="M22" s="780">
        <f t="shared" si="1"/>
        <v>0</v>
      </c>
      <c r="N22" s="780">
        <f t="shared" si="1"/>
        <v>2399.0672795087403</v>
      </c>
      <c r="O22" s="780">
        <f t="shared" si="1"/>
        <v>0</v>
      </c>
      <c r="P22" s="780">
        <f t="shared" si="1"/>
        <v>0</v>
      </c>
      <c r="Q22" s="780">
        <f t="shared" si="1"/>
        <v>0</v>
      </c>
      <c r="R22" s="780">
        <f t="shared" si="1"/>
        <v>47300.935033228307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587.01141823720309</v>
      </c>
      <c r="D24" s="973">
        <f>+landbouw!C8</f>
        <v>0</v>
      </c>
      <c r="E24" s="973">
        <f>+landbouw!D8</f>
        <v>45.602016696735696</v>
      </c>
      <c r="F24" s="973">
        <f>+landbouw!E8</f>
        <v>17.254058521806495</v>
      </c>
      <c r="G24" s="973">
        <f>+landbouw!F8</f>
        <v>2445.4578479440779</v>
      </c>
      <c r="H24" s="973">
        <f>+landbouw!G8</f>
        <v>0</v>
      </c>
      <c r="I24" s="973">
        <f>+landbouw!H8</f>
        <v>0</v>
      </c>
      <c r="J24" s="973">
        <f>+landbouw!I8</f>
        <v>0</v>
      </c>
      <c r="K24" s="973">
        <f>+landbouw!J8</f>
        <v>85.045348288062158</v>
      </c>
      <c r="L24" s="973">
        <f>+landbouw!K8</f>
        <v>0</v>
      </c>
      <c r="M24" s="973">
        <f>+landbouw!L8</f>
        <v>0</v>
      </c>
      <c r="N24" s="973">
        <f>+landbouw!M8</f>
        <v>0</v>
      </c>
      <c r="O24" s="973">
        <f>+landbouw!N8</f>
        <v>0</v>
      </c>
      <c r="P24" s="973">
        <f>+landbouw!O8</f>
        <v>0</v>
      </c>
      <c r="Q24" s="974">
        <f>+landbouw!P8</f>
        <v>0</v>
      </c>
      <c r="R24" s="668">
        <f>SUM(C24:Q24)</f>
        <v>3180.3706896878853</v>
      </c>
      <c r="S24" s="67"/>
    </row>
    <row r="25" spans="1:19" s="441" customFormat="1" ht="15" thickBot="1">
      <c r="A25" s="799" t="s">
        <v>808</v>
      </c>
      <c r="B25" s="976"/>
      <c r="C25" s="977">
        <f>IF(Onbekend_ele_kWh="---",0,Onbekend_ele_kWh)/1000+IF(REST_rest_ele_kWh="---",0,REST_rest_ele_kWh)/1000</f>
        <v>295.11431043356805</v>
      </c>
      <c r="D25" s="977"/>
      <c r="E25" s="977">
        <f>IF(onbekend_gas_kWh="---",0,onbekend_gas_kWh)/1000+IF(REST_rest_gas_kWh="---",0,REST_rest_gas_kWh)/1000</f>
        <v>232.48967224373499</v>
      </c>
      <c r="F25" s="977"/>
      <c r="G25" s="977"/>
      <c r="H25" s="977"/>
      <c r="I25" s="977"/>
      <c r="J25" s="977"/>
      <c r="K25" s="977"/>
      <c r="L25" s="977"/>
      <c r="M25" s="977"/>
      <c r="N25" s="977"/>
      <c r="O25" s="977"/>
      <c r="P25" s="977"/>
      <c r="Q25" s="978"/>
      <c r="R25" s="668">
        <f>SUM(C25:Q25)</f>
        <v>527.60398267730307</v>
      </c>
      <c r="S25" s="67"/>
    </row>
    <row r="26" spans="1:19" s="441" customFormat="1" ht="15.75" thickBot="1">
      <c r="A26" s="673" t="s">
        <v>809</v>
      </c>
      <c r="B26" s="785"/>
      <c r="C26" s="780">
        <f>SUM(C24:C25)</f>
        <v>882.1257286707712</v>
      </c>
      <c r="D26" s="780">
        <f t="shared" ref="D26:R26" si="2">SUM(D24:D25)</f>
        <v>0</v>
      </c>
      <c r="E26" s="780">
        <f t="shared" si="2"/>
        <v>278.0916889404707</v>
      </c>
      <c r="F26" s="780">
        <f t="shared" si="2"/>
        <v>17.254058521806495</v>
      </c>
      <c r="G26" s="780">
        <f t="shared" si="2"/>
        <v>2445.4578479440779</v>
      </c>
      <c r="H26" s="780">
        <f t="shared" si="2"/>
        <v>0</v>
      </c>
      <c r="I26" s="780">
        <f t="shared" si="2"/>
        <v>0</v>
      </c>
      <c r="J26" s="780">
        <f t="shared" si="2"/>
        <v>0</v>
      </c>
      <c r="K26" s="780">
        <f t="shared" si="2"/>
        <v>85.045348288062158</v>
      </c>
      <c r="L26" s="780">
        <f t="shared" si="2"/>
        <v>0</v>
      </c>
      <c r="M26" s="780">
        <f t="shared" si="2"/>
        <v>0</v>
      </c>
      <c r="N26" s="780">
        <f t="shared" si="2"/>
        <v>0</v>
      </c>
      <c r="O26" s="780">
        <f t="shared" si="2"/>
        <v>0</v>
      </c>
      <c r="P26" s="780">
        <f t="shared" si="2"/>
        <v>0</v>
      </c>
      <c r="Q26" s="780">
        <f t="shared" si="2"/>
        <v>0</v>
      </c>
      <c r="R26" s="780">
        <f t="shared" si="2"/>
        <v>3707.9746723651883</v>
      </c>
      <c r="S26" s="67"/>
    </row>
    <row r="27" spans="1:19" s="441" customFormat="1" ht="17.25" thickTop="1" thickBot="1">
      <c r="A27" s="674" t="s">
        <v>115</v>
      </c>
      <c r="B27" s="773"/>
      <c r="C27" s="675">
        <f ca="1">C22+C16+C26</f>
        <v>26243.899356834052</v>
      </c>
      <c r="D27" s="675">
        <f t="shared" ref="D27:R27" ca="1" si="3">D22+D16+D26</f>
        <v>34.071428571428577</v>
      </c>
      <c r="E27" s="675">
        <f t="shared" ca="1" si="3"/>
        <v>27371.573670965889</v>
      </c>
      <c r="F27" s="675">
        <f t="shared" si="3"/>
        <v>2141.7615620753468</v>
      </c>
      <c r="G27" s="675">
        <f t="shared" ca="1" si="3"/>
        <v>32980.177918982932</v>
      </c>
      <c r="H27" s="675">
        <f t="shared" si="3"/>
        <v>37325.691129542596</v>
      </c>
      <c r="I27" s="675">
        <f t="shared" si="3"/>
        <v>7420.8668526986576</v>
      </c>
      <c r="J27" s="675">
        <f t="shared" si="3"/>
        <v>0</v>
      </c>
      <c r="K27" s="675">
        <f t="shared" si="3"/>
        <v>224.27783602859205</v>
      </c>
      <c r="L27" s="675">
        <f t="shared" si="3"/>
        <v>0</v>
      </c>
      <c r="M27" s="675">
        <f t="shared" ca="1" si="3"/>
        <v>0</v>
      </c>
      <c r="N27" s="675">
        <f t="shared" si="3"/>
        <v>2399.0672795087403</v>
      </c>
      <c r="O27" s="675">
        <f t="shared" ca="1" si="3"/>
        <v>5570.9111504652128</v>
      </c>
      <c r="P27" s="675">
        <f t="shared" si="3"/>
        <v>190.72666666666666</v>
      </c>
      <c r="Q27" s="675">
        <f t="shared" si="3"/>
        <v>552.93333333333339</v>
      </c>
      <c r="R27" s="675">
        <f t="shared" ca="1" si="3"/>
        <v>142455.95818567343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1176.7657583907444</v>
      </c>
      <c r="D40" s="973">
        <f ca="1">tertiair!C20</f>
        <v>8.0969747899159685</v>
      </c>
      <c r="E40" s="973">
        <f ca="1">tertiair!D20</f>
        <v>780.25235667450715</v>
      </c>
      <c r="F40" s="973">
        <f>tertiair!E20</f>
        <v>20.166785447427419</v>
      </c>
      <c r="G40" s="973">
        <f ca="1">tertiair!F20</f>
        <v>240.50602641043861</v>
      </c>
      <c r="H40" s="973">
        <f>tertiair!G20</f>
        <v>0</v>
      </c>
      <c r="I40" s="973">
        <f>tertiair!H20</f>
        <v>0</v>
      </c>
      <c r="J40" s="973">
        <f>tertiair!I20</f>
        <v>0</v>
      </c>
      <c r="K40" s="973">
        <f>tertiair!J20</f>
        <v>3.5678835906019224E-3</v>
      </c>
      <c r="L40" s="973">
        <f>tertiair!K20</f>
        <v>0</v>
      </c>
      <c r="M40" s="973">
        <f ca="1">tertiair!L20</f>
        <v>0</v>
      </c>
      <c r="N40" s="973">
        <f>tertiair!M20</f>
        <v>0</v>
      </c>
      <c r="O40" s="973">
        <f ca="1">tertiair!N20</f>
        <v>0</v>
      </c>
      <c r="P40" s="973">
        <f>tertiair!O20</f>
        <v>0</v>
      </c>
      <c r="Q40" s="742">
        <f>tertiair!P20</f>
        <v>0</v>
      </c>
      <c r="R40" s="818">
        <f t="shared" ca="1" si="4"/>
        <v>2225.7914695966242</v>
      </c>
    </row>
    <row r="41" spans="1:18">
      <c r="A41" s="790" t="s">
        <v>219</v>
      </c>
      <c r="B41" s="797"/>
      <c r="C41" s="973">
        <f ca="1">huishoudens!B12</f>
        <v>2822.6154580992575</v>
      </c>
      <c r="D41" s="973">
        <f ca="1">huishoudens!C12</f>
        <v>0</v>
      </c>
      <c r="E41" s="973">
        <f>huishoudens!D12</f>
        <v>3476.1936704793752</v>
      </c>
      <c r="F41" s="973">
        <f>huishoudens!E12</f>
        <v>242.30435856116745</v>
      </c>
      <c r="G41" s="973">
        <f>huishoudens!F12</f>
        <v>7220.6519176883312</v>
      </c>
      <c r="H41" s="973">
        <f>huishoudens!G12</f>
        <v>0</v>
      </c>
      <c r="I41" s="973">
        <f>huishoudens!H12</f>
        <v>0</v>
      </c>
      <c r="J41" s="973">
        <f>huishoudens!I12</f>
        <v>0</v>
      </c>
      <c r="K41" s="973">
        <f>huishoudens!J12</f>
        <v>46.06636065445749</v>
      </c>
      <c r="L41" s="973">
        <f>huishoudens!K12</f>
        <v>0</v>
      </c>
      <c r="M41" s="973">
        <f>huishoudens!L12</f>
        <v>0</v>
      </c>
      <c r="N41" s="973">
        <f>huishoudens!M12</f>
        <v>0</v>
      </c>
      <c r="O41" s="973">
        <f>huishoudens!N12</f>
        <v>0</v>
      </c>
      <c r="P41" s="973">
        <f>huishoudens!O12</f>
        <v>0</v>
      </c>
      <c r="Q41" s="742">
        <f>huishoudens!P12</f>
        <v>0</v>
      </c>
      <c r="R41" s="818">
        <f t="shared" ca="1" si="4"/>
        <v>13807.831765482588</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1130.7562493102971</v>
      </c>
      <c r="D43" s="973">
        <f ca="1">industrie!C22</f>
        <v>0</v>
      </c>
      <c r="E43" s="973">
        <f>industrie!D22</f>
        <v>1207.1173168546411</v>
      </c>
      <c r="F43" s="973">
        <f>industrie!E22</f>
        <v>201.53566167663169</v>
      </c>
      <c r="G43" s="973">
        <f>industrie!F22</f>
        <v>691.61231486860572</v>
      </c>
      <c r="H43" s="973">
        <f>industrie!G22</f>
        <v>0</v>
      </c>
      <c r="I43" s="973">
        <f>industrie!H22</f>
        <v>0</v>
      </c>
      <c r="J43" s="973">
        <f>industrie!I22</f>
        <v>0</v>
      </c>
      <c r="K43" s="973">
        <f>industrie!J22</f>
        <v>3.2183721220994812</v>
      </c>
      <c r="L43" s="973">
        <f>industrie!K22</f>
        <v>0</v>
      </c>
      <c r="M43" s="973">
        <f>industrie!L22</f>
        <v>0</v>
      </c>
      <c r="N43" s="973">
        <f>industrie!M22</f>
        <v>0</v>
      </c>
      <c r="O43" s="973">
        <f>industrie!N22</f>
        <v>0</v>
      </c>
      <c r="P43" s="973">
        <f>industrie!O22</f>
        <v>0</v>
      </c>
      <c r="Q43" s="742">
        <f>industrie!P22</f>
        <v>0</v>
      </c>
      <c r="R43" s="817">
        <f t="shared" ca="1" si="4"/>
        <v>3234.2399148322747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5130.1374658002987</v>
      </c>
      <c r="D46" s="700">
        <f t="shared" ref="D46:Q46" ca="1" si="5">SUM(D39:D45)</f>
        <v>8.0969747899159685</v>
      </c>
      <c r="E46" s="700">
        <f t="shared" ca="1" si="5"/>
        <v>5463.5633440085239</v>
      </c>
      <c r="F46" s="700">
        <f t="shared" si="5"/>
        <v>464.0068056852266</v>
      </c>
      <c r="G46" s="700">
        <f t="shared" ca="1" si="5"/>
        <v>8152.7702589673754</v>
      </c>
      <c r="H46" s="700">
        <f t="shared" si="5"/>
        <v>0</v>
      </c>
      <c r="I46" s="700">
        <f t="shared" si="5"/>
        <v>0</v>
      </c>
      <c r="J46" s="700">
        <f t="shared" si="5"/>
        <v>0</v>
      </c>
      <c r="K46" s="700">
        <f t="shared" si="5"/>
        <v>49.288300660147577</v>
      </c>
      <c r="L46" s="700">
        <f t="shared" si="5"/>
        <v>0</v>
      </c>
      <c r="M46" s="700">
        <f t="shared" ca="1" si="5"/>
        <v>0</v>
      </c>
      <c r="N46" s="700">
        <f t="shared" si="5"/>
        <v>0</v>
      </c>
      <c r="O46" s="700">
        <f t="shared" ca="1" si="5"/>
        <v>0</v>
      </c>
      <c r="P46" s="700">
        <f t="shared" si="5"/>
        <v>0</v>
      </c>
      <c r="Q46" s="700">
        <f t="shared" si="5"/>
        <v>0</v>
      </c>
      <c r="R46" s="700">
        <f ca="1">SUM(R39:R45)</f>
        <v>19267.863149911485</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0.44775562673551866</v>
      </c>
      <c r="D49" s="973">
        <f ca="1">transport!C58</f>
        <v>0</v>
      </c>
      <c r="E49" s="973">
        <f>transport!D58</f>
        <v>0</v>
      </c>
      <c r="F49" s="973">
        <f>transport!E58</f>
        <v>0</v>
      </c>
      <c r="G49" s="973">
        <f>transport!F58</f>
        <v>0</v>
      </c>
      <c r="H49" s="973">
        <f>transport!G58</f>
        <v>55.457629120195676</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55.905384746931198</v>
      </c>
    </row>
    <row r="50" spans="1:18">
      <c r="A50" s="793" t="s">
        <v>301</v>
      </c>
      <c r="B50" s="803"/>
      <c r="C50" s="671">
        <f ca="1">transport!B18</f>
        <v>5.3736202471629744</v>
      </c>
      <c r="D50" s="671">
        <f>transport!C18</f>
        <v>0</v>
      </c>
      <c r="E50" s="671">
        <f>transport!D18</f>
        <v>9.3200163606102429</v>
      </c>
      <c r="F50" s="671">
        <f>transport!E18</f>
        <v>18.256397621427109</v>
      </c>
      <c r="G50" s="671">
        <f>transport!F18</f>
        <v>0</v>
      </c>
      <c r="H50" s="671">
        <f>transport!G18</f>
        <v>9910.5019024676785</v>
      </c>
      <c r="I50" s="671">
        <f>transport!H18</f>
        <v>1847.7958463219657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11791.247783018844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5.8213758738984929</v>
      </c>
      <c r="D52" s="700">
        <f t="shared" ref="D52:Q52" ca="1" si="6">SUM(D48:D51)</f>
        <v>0</v>
      </c>
      <c r="E52" s="700">
        <f t="shared" si="6"/>
        <v>9.3200163606102429</v>
      </c>
      <c r="F52" s="700">
        <f t="shared" si="6"/>
        <v>18.256397621427109</v>
      </c>
      <c r="G52" s="700">
        <f t="shared" si="6"/>
        <v>0</v>
      </c>
      <c r="H52" s="700">
        <f t="shared" si="6"/>
        <v>9965.9595315878742</v>
      </c>
      <c r="I52" s="700">
        <f t="shared" si="6"/>
        <v>1847.7958463219657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11847.153167765775</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118.87443393592865</v>
      </c>
      <c r="D54" s="671">
        <f ca="1">+landbouw!C12</f>
        <v>0</v>
      </c>
      <c r="E54" s="671">
        <f>+landbouw!D12</f>
        <v>9.2116073727406107</v>
      </c>
      <c r="F54" s="671">
        <f>+landbouw!E12</f>
        <v>3.9166712844500746</v>
      </c>
      <c r="G54" s="671">
        <f>+landbouw!F12</f>
        <v>652.93724540106882</v>
      </c>
      <c r="H54" s="671">
        <f>+landbouw!G12</f>
        <v>0</v>
      </c>
      <c r="I54" s="671">
        <f>+landbouw!H12</f>
        <v>0</v>
      </c>
      <c r="J54" s="671">
        <f>+landbouw!I12</f>
        <v>0</v>
      </c>
      <c r="K54" s="671">
        <f>+landbouw!J12</f>
        <v>30.106053293974004</v>
      </c>
      <c r="L54" s="671">
        <f>+landbouw!K12</f>
        <v>0</v>
      </c>
      <c r="M54" s="671">
        <f>+landbouw!L12</f>
        <v>0</v>
      </c>
      <c r="N54" s="671">
        <f>+landbouw!M12</f>
        <v>0</v>
      </c>
      <c r="O54" s="671">
        <f>+landbouw!N12</f>
        <v>0</v>
      </c>
      <c r="P54" s="671">
        <f>+landbouw!O12</f>
        <v>0</v>
      </c>
      <c r="Q54" s="672">
        <f>+landbouw!P12</f>
        <v>0</v>
      </c>
      <c r="R54" s="699">
        <f ca="1">SUM(C54:Q54)</f>
        <v>815.04601128816216</v>
      </c>
    </row>
    <row r="55" spans="1:18" ht="15" thickBot="1">
      <c r="A55" s="793" t="s">
        <v>808</v>
      </c>
      <c r="B55" s="803"/>
      <c r="C55" s="671">
        <f ca="1">C25*'EF ele_warmte'!B12</f>
        <v>59.76297139931674</v>
      </c>
      <c r="D55" s="671"/>
      <c r="E55" s="671">
        <f>E25*EF_CO2_aardgas</f>
        <v>46.96291379323447</v>
      </c>
      <c r="F55" s="671"/>
      <c r="G55" s="671"/>
      <c r="H55" s="671"/>
      <c r="I55" s="671"/>
      <c r="J55" s="671"/>
      <c r="K55" s="671"/>
      <c r="L55" s="671"/>
      <c r="M55" s="671"/>
      <c r="N55" s="671"/>
      <c r="O55" s="671"/>
      <c r="P55" s="671"/>
      <c r="Q55" s="672"/>
      <c r="R55" s="699">
        <f ca="1">SUM(C55:Q55)</f>
        <v>106.7258851925512</v>
      </c>
    </row>
    <row r="56" spans="1:18" ht="15.75" thickBot="1">
      <c r="A56" s="791" t="s">
        <v>809</v>
      </c>
      <c r="B56" s="804"/>
      <c r="C56" s="700">
        <f ca="1">SUM(C54:C55)</f>
        <v>178.63740533524538</v>
      </c>
      <c r="D56" s="700">
        <f t="shared" ref="D56:Q56" ca="1" si="7">SUM(D54:D55)</f>
        <v>0</v>
      </c>
      <c r="E56" s="700">
        <f t="shared" si="7"/>
        <v>56.174521165975079</v>
      </c>
      <c r="F56" s="700">
        <f t="shared" si="7"/>
        <v>3.9166712844500746</v>
      </c>
      <c r="G56" s="700">
        <f t="shared" si="7"/>
        <v>652.93724540106882</v>
      </c>
      <c r="H56" s="700">
        <f t="shared" si="7"/>
        <v>0</v>
      </c>
      <c r="I56" s="700">
        <f t="shared" si="7"/>
        <v>0</v>
      </c>
      <c r="J56" s="700">
        <f t="shared" si="7"/>
        <v>0</v>
      </c>
      <c r="K56" s="700">
        <f t="shared" si="7"/>
        <v>30.106053293974004</v>
      </c>
      <c r="L56" s="700">
        <f t="shared" si="7"/>
        <v>0</v>
      </c>
      <c r="M56" s="700">
        <f t="shared" si="7"/>
        <v>0</v>
      </c>
      <c r="N56" s="700">
        <f t="shared" si="7"/>
        <v>0</v>
      </c>
      <c r="O56" s="700">
        <f t="shared" si="7"/>
        <v>0</v>
      </c>
      <c r="P56" s="700">
        <f t="shared" si="7"/>
        <v>0</v>
      </c>
      <c r="Q56" s="701">
        <f t="shared" si="7"/>
        <v>0</v>
      </c>
      <c r="R56" s="702">
        <f ca="1">SUM(R54:R55)</f>
        <v>921.77189648071339</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5314.5962470094428</v>
      </c>
      <c r="D61" s="708">
        <f t="shared" ref="D61:Q61" ca="1" si="8">D46+D52+D56</f>
        <v>8.0969747899159685</v>
      </c>
      <c r="E61" s="708">
        <f t="shared" ca="1" si="8"/>
        <v>5529.05788153511</v>
      </c>
      <c r="F61" s="708">
        <f t="shared" si="8"/>
        <v>486.17987459110373</v>
      </c>
      <c r="G61" s="708">
        <f t="shared" ca="1" si="8"/>
        <v>8805.7075043684436</v>
      </c>
      <c r="H61" s="708">
        <f t="shared" si="8"/>
        <v>9965.9595315878742</v>
      </c>
      <c r="I61" s="708">
        <f t="shared" si="8"/>
        <v>1847.7958463219657</v>
      </c>
      <c r="J61" s="708">
        <f t="shared" si="8"/>
        <v>0</v>
      </c>
      <c r="K61" s="708">
        <f t="shared" si="8"/>
        <v>79.394353954121584</v>
      </c>
      <c r="L61" s="708">
        <f t="shared" si="8"/>
        <v>0</v>
      </c>
      <c r="M61" s="708">
        <f t="shared" ca="1" si="8"/>
        <v>0</v>
      </c>
      <c r="N61" s="708">
        <f t="shared" si="8"/>
        <v>0</v>
      </c>
      <c r="O61" s="708">
        <f t="shared" ca="1" si="8"/>
        <v>0</v>
      </c>
      <c r="P61" s="708">
        <f t="shared" si="8"/>
        <v>0</v>
      </c>
      <c r="Q61" s="708">
        <f t="shared" si="8"/>
        <v>0</v>
      </c>
      <c r="R61" s="708">
        <f ca="1">R46+R52+R56</f>
        <v>32036.788214157976</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0.20250787334411469</v>
      </c>
      <c r="D63" s="749">
        <f t="shared" ca="1" si="9"/>
        <v>0.23764705882352943</v>
      </c>
      <c r="E63" s="984">
        <f t="shared" ca="1" si="9"/>
        <v>0.20200000000000001</v>
      </c>
      <c r="F63" s="749">
        <f t="shared" si="9"/>
        <v>0.22700000000000001</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2197.7490642706971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23.85</v>
      </c>
      <c r="D76" s="994">
        <f>'lokale energieproductie'!C8</f>
        <v>28.058823529411768</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5.6678823529411773</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2197.7490642706971</v>
      </c>
      <c r="C78" s="723">
        <f>SUM(C72:C77)</f>
        <v>23.85</v>
      </c>
      <c r="D78" s="724">
        <f t="shared" ref="D78:H78" si="10">SUM(D76:D77)</f>
        <v>28.058823529411768</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5.6678823529411773</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34.071428571428577</v>
      </c>
      <c r="D87" s="745">
        <f>'lokale energieproductie'!C17</f>
        <v>40.084033613445385</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8.0969747899159685</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34.071428571428577</v>
      </c>
      <c r="D90" s="723">
        <f t="shared" ref="D90:H90" si="12">SUM(D87:D89)</f>
        <v>40.084033613445385</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8.0969747899159685</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13938.299837374145</v>
      </c>
      <c r="C4" s="445">
        <f>huishoudens!C8</f>
        <v>0</v>
      </c>
      <c r="D4" s="445">
        <f>huishoudens!D8</f>
        <v>17208.87955682859</v>
      </c>
      <c r="E4" s="445">
        <f>huishoudens!E8</f>
        <v>1067.4200817672574</v>
      </c>
      <c r="F4" s="445">
        <f>huishoudens!F8</f>
        <v>27043.640141154796</v>
      </c>
      <c r="G4" s="445">
        <f>huishoudens!G8</f>
        <v>0</v>
      </c>
      <c r="H4" s="445">
        <f>huishoudens!H8</f>
        <v>0</v>
      </c>
      <c r="I4" s="445">
        <f>huishoudens!I8</f>
        <v>0</v>
      </c>
      <c r="J4" s="445">
        <f>huishoudens!J8</f>
        <v>130.13096230072739</v>
      </c>
      <c r="K4" s="445">
        <f>huishoudens!K8</f>
        <v>0</v>
      </c>
      <c r="L4" s="445">
        <f>huishoudens!L8</f>
        <v>0</v>
      </c>
      <c r="M4" s="445">
        <f>huishoudens!M8</f>
        <v>0</v>
      </c>
      <c r="N4" s="445">
        <f>huishoudens!N8</f>
        <v>4759.3291472246265</v>
      </c>
      <c r="O4" s="445">
        <f>huishoudens!O8</f>
        <v>187.6</v>
      </c>
      <c r="P4" s="446">
        <f>huishoudens!P8</f>
        <v>495.73333333333335</v>
      </c>
      <c r="Q4" s="447">
        <f>SUM(B4:P4)</f>
        <v>64831.033059983471</v>
      </c>
    </row>
    <row r="5" spans="1:17">
      <c r="A5" s="444" t="s">
        <v>155</v>
      </c>
      <c r="B5" s="445">
        <f ca="1">tertiair!B16</f>
        <v>5296.4879959478494</v>
      </c>
      <c r="C5" s="445">
        <f ca="1">tertiair!C16</f>
        <v>34.071428571428577</v>
      </c>
      <c r="D5" s="445">
        <f ca="1">tertiair!D16</f>
        <v>3862.6354290817185</v>
      </c>
      <c r="E5" s="445">
        <f>tertiair!E16</f>
        <v>88.840464526111973</v>
      </c>
      <c r="F5" s="445">
        <f ca="1">tertiair!F16</f>
        <v>900.77163449602472</v>
      </c>
      <c r="G5" s="445">
        <f>tertiair!G16</f>
        <v>0</v>
      </c>
      <c r="H5" s="445">
        <f>tertiair!H16</f>
        <v>0</v>
      </c>
      <c r="I5" s="445">
        <f>tertiair!I16</f>
        <v>0</v>
      </c>
      <c r="J5" s="445">
        <f>tertiair!J16</f>
        <v>1.0078767205090176E-2</v>
      </c>
      <c r="K5" s="445">
        <f>tertiair!K16</f>
        <v>0</v>
      </c>
      <c r="L5" s="445">
        <f ca="1">tertiair!L16</f>
        <v>0</v>
      </c>
      <c r="M5" s="445">
        <f>tertiair!M16</f>
        <v>0</v>
      </c>
      <c r="N5" s="445">
        <f ca="1">tertiair!N16</f>
        <v>402.30093544998459</v>
      </c>
      <c r="O5" s="445">
        <f>tertiair!O16</f>
        <v>3.1266666666666669</v>
      </c>
      <c r="P5" s="446">
        <f>tertiair!P16</f>
        <v>57.2</v>
      </c>
      <c r="Q5" s="444">
        <f t="shared" ref="Q5:Q14" ca="1" si="0">SUM(B5:P5)</f>
        <v>10645.444633506992</v>
      </c>
    </row>
    <row r="6" spans="1:17">
      <c r="A6" s="444" t="s">
        <v>193</v>
      </c>
      <c r="B6" s="445">
        <f>'openbare verlichting'!B8</f>
        <v>514.47500000000002</v>
      </c>
      <c r="C6" s="445"/>
      <c r="D6" s="445"/>
      <c r="E6" s="445"/>
      <c r="F6" s="445"/>
      <c r="G6" s="445"/>
      <c r="H6" s="445"/>
      <c r="I6" s="445"/>
      <c r="J6" s="445"/>
      <c r="K6" s="445"/>
      <c r="L6" s="445"/>
      <c r="M6" s="445"/>
      <c r="N6" s="445"/>
      <c r="O6" s="445"/>
      <c r="P6" s="446"/>
      <c r="Q6" s="444">
        <f t="shared" si="0"/>
        <v>514.47500000000002</v>
      </c>
    </row>
    <row r="7" spans="1:17">
      <c r="A7" s="444" t="s">
        <v>111</v>
      </c>
      <c r="B7" s="445">
        <f>landbouw!B8</f>
        <v>587.01141823720309</v>
      </c>
      <c r="C7" s="445">
        <f>landbouw!C8</f>
        <v>0</v>
      </c>
      <c r="D7" s="445">
        <f>landbouw!D8</f>
        <v>45.602016696735696</v>
      </c>
      <c r="E7" s="445">
        <f>landbouw!E8</f>
        <v>17.254058521806495</v>
      </c>
      <c r="F7" s="445">
        <f>landbouw!F8</f>
        <v>2445.4578479440779</v>
      </c>
      <c r="G7" s="445">
        <f>landbouw!G8</f>
        <v>0</v>
      </c>
      <c r="H7" s="445">
        <f>landbouw!H8</f>
        <v>0</v>
      </c>
      <c r="I7" s="445">
        <f>landbouw!I8</f>
        <v>0</v>
      </c>
      <c r="J7" s="445">
        <f>landbouw!J8</f>
        <v>85.045348288062158</v>
      </c>
      <c r="K7" s="445">
        <f>landbouw!K8</f>
        <v>0</v>
      </c>
      <c r="L7" s="445">
        <f>landbouw!L8</f>
        <v>0</v>
      </c>
      <c r="M7" s="445">
        <f>landbouw!M8</f>
        <v>0</v>
      </c>
      <c r="N7" s="445">
        <f>landbouw!N8</f>
        <v>0</v>
      </c>
      <c r="O7" s="445">
        <f>landbouw!O8</f>
        <v>0</v>
      </c>
      <c r="P7" s="446">
        <f>landbouw!P8</f>
        <v>0</v>
      </c>
      <c r="Q7" s="444">
        <f t="shared" si="0"/>
        <v>3180.3706896878853</v>
      </c>
    </row>
    <row r="8" spans="1:17">
      <c r="A8" s="444" t="s">
        <v>627</v>
      </c>
      <c r="B8" s="445">
        <f>industrie!B18</f>
        <v>5583.7643773427108</v>
      </c>
      <c r="C8" s="445">
        <f>industrie!C18</f>
        <v>0</v>
      </c>
      <c r="D8" s="445">
        <f>industrie!D18</f>
        <v>5975.8283012605989</v>
      </c>
      <c r="E8" s="445">
        <f>industrie!E18</f>
        <v>887.82229813494132</v>
      </c>
      <c r="F8" s="445">
        <f>industrie!F18</f>
        <v>2590.3082953880362</v>
      </c>
      <c r="G8" s="445">
        <f>industrie!G18</f>
        <v>0</v>
      </c>
      <c r="H8" s="445">
        <f>industrie!H18</f>
        <v>0</v>
      </c>
      <c r="I8" s="445">
        <f>industrie!I18</f>
        <v>0</v>
      </c>
      <c r="J8" s="445">
        <f>industrie!J18</f>
        <v>9.0914466725974048</v>
      </c>
      <c r="K8" s="445">
        <f>industrie!K18</f>
        <v>0</v>
      </c>
      <c r="L8" s="445">
        <f>industrie!L18</f>
        <v>0</v>
      </c>
      <c r="M8" s="445">
        <f>industrie!M18</f>
        <v>0</v>
      </c>
      <c r="N8" s="445">
        <f>industrie!N18</f>
        <v>409.2810677906017</v>
      </c>
      <c r="O8" s="445">
        <f>industrie!O18</f>
        <v>0</v>
      </c>
      <c r="P8" s="446">
        <f>industrie!P18</f>
        <v>0</v>
      </c>
      <c r="Q8" s="444">
        <f t="shared" si="0"/>
        <v>15456.095786589485</v>
      </c>
    </row>
    <row r="9" spans="1:17" s="450" customFormat="1">
      <c r="A9" s="448" t="s">
        <v>553</v>
      </c>
      <c r="B9" s="449">
        <f>transport!B14</f>
        <v>26.535364568427251</v>
      </c>
      <c r="C9" s="449">
        <f>transport!C14</f>
        <v>0</v>
      </c>
      <c r="D9" s="449">
        <f>transport!D14</f>
        <v>46.138694854506149</v>
      </c>
      <c r="E9" s="449">
        <f>transport!E14</f>
        <v>80.424659125229553</v>
      </c>
      <c r="F9" s="449">
        <f>transport!F14</f>
        <v>0</v>
      </c>
      <c r="G9" s="449">
        <f>transport!G14</f>
        <v>37117.984653436994</v>
      </c>
      <c r="H9" s="449">
        <f>transport!H14</f>
        <v>7420.8668526986576</v>
      </c>
      <c r="I9" s="449">
        <f>transport!I14</f>
        <v>0</v>
      </c>
      <c r="J9" s="449">
        <f>transport!J14</f>
        <v>0</v>
      </c>
      <c r="K9" s="449">
        <f>transport!K14</f>
        <v>0</v>
      </c>
      <c r="L9" s="449">
        <f>transport!L14</f>
        <v>0</v>
      </c>
      <c r="M9" s="449">
        <f>transport!M14</f>
        <v>2387.1060871918421</v>
      </c>
      <c r="N9" s="449">
        <f>transport!N14</f>
        <v>0</v>
      </c>
      <c r="O9" s="449">
        <f>transport!O14</f>
        <v>0</v>
      </c>
      <c r="P9" s="449">
        <f>transport!P14</f>
        <v>0</v>
      </c>
      <c r="Q9" s="448">
        <f>SUM(B9:P9)</f>
        <v>47079.056311875662</v>
      </c>
    </row>
    <row r="10" spans="1:17">
      <c r="A10" s="444" t="s">
        <v>543</v>
      </c>
      <c r="B10" s="445">
        <f>transport!B54</f>
        <v>2.2110529301478707</v>
      </c>
      <c r="C10" s="445">
        <f>transport!C54</f>
        <v>0</v>
      </c>
      <c r="D10" s="445">
        <f>transport!D54</f>
        <v>0</v>
      </c>
      <c r="E10" s="445">
        <f>transport!E54</f>
        <v>0</v>
      </c>
      <c r="F10" s="445">
        <f>transport!F54</f>
        <v>0</v>
      </c>
      <c r="G10" s="445">
        <f>transport!G54</f>
        <v>207.70647610560178</v>
      </c>
      <c r="H10" s="445">
        <f>transport!H54</f>
        <v>0</v>
      </c>
      <c r="I10" s="445">
        <f>transport!I54</f>
        <v>0</v>
      </c>
      <c r="J10" s="445">
        <f>transport!J54</f>
        <v>0</v>
      </c>
      <c r="K10" s="445">
        <f>transport!K54</f>
        <v>0</v>
      </c>
      <c r="L10" s="445">
        <f>transport!L54</f>
        <v>0</v>
      </c>
      <c r="M10" s="445">
        <f>transport!M54</f>
        <v>11.961192316898401</v>
      </c>
      <c r="N10" s="445">
        <f>transport!N54</f>
        <v>0</v>
      </c>
      <c r="O10" s="445">
        <f>transport!O54</f>
        <v>0</v>
      </c>
      <c r="P10" s="446">
        <f>transport!P54</f>
        <v>0</v>
      </c>
      <c r="Q10" s="444">
        <f t="shared" si="0"/>
        <v>221.87872135264806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295.11431043356805</v>
      </c>
      <c r="C14" s="452"/>
      <c r="D14" s="452">
        <f>'SEAP template'!E25</f>
        <v>232.48967224373499</v>
      </c>
      <c r="E14" s="452"/>
      <c r="F14" s="452"/>
      <c r="G14" s="452"/>
      <c r="H14" s="452"/>
      <c r="I14" s="452"/>
      <c r="J14" s="452"/>
      <c r="K14" s="452"/>
      <c r="L14" s="452"/>
      <c r="M14" s="452"/>
      <c r="N14" s="452"/>
      <c r="O14" s="452"/>
      <c r="P14" s="453"/>
      <c r="Q14" s="444">
        <f t="shared" si="0"/>
        <v>527.60398267730307</v>
      </c>
    </row>
    <row r="15" spans="1:17" s="454" customFormat="1">
      <c r="A15" s="999" t="s">
        <v>547</v>
      </c>
      <c r="B15" s="947">
        <f ca="1">SUM(B4:B14)</f>
        <v>26243.899356834045</v>
      </c>
      <c r="C15" s="947">
        <f t="shared" ref="C15:Q15" ca="1" si="1">SUM(C4:C14)</f>
        <v>34.071428571428577</v>
      </c>
      <c r="D15" s="947">
        <f t="shared" ca="1" si="1"/>
        <v>27371.573670965885</v>
      </c>
      <c r="E15" s="947">
        <f t="shared" si="1"/>
        <v>2141.7615620753468</v>
      </c>
      <c r="F15" s="947">
        <f t="shared" ca="1" si="1"/>
        <v>32980.177918982932</v>
      </c>
      <c r="G15" s="947">
        <f t="shared" si="1"/>
        <v>37325.691129542596</v>
      </c>
      <c r="H15" s="947">
        <f t="shared" si="1"/>
        <v>7420.8668526986576</v>
      </c>
      <c r="I15" s="947">
        <f t="shared" si="1"/>
        <v>0</v>
      </c>
      <c r="J15" s="947">
        <f t="shared" si="1"/>
        <v>224.27783602859208</v>
      </c>
      <c r="K15" s="947">
        <f t="shared" si="1"/>
        <v>0</v>
      </c>
      <c r="L15" s="947">
        <f t="shared" ca="1" si="1"/>
        <v>0</v>
      </c>
      <c r="M15" s="947">
        <f t="shared" si="1"/>
        <v>2399.0672795087403</v>
      </c>
      <c r="N15" s="947">
        <f t="shared" ca="1" si="1"/>
        <v>5570.9111504652128</v>
      </c>
      <c r="O15" s="947">
        <f t="shared" si="1"/>
        <v>190.72666666666666</v>
      </c>
      <c r="P15" s="947">
        <f t="shared" si="1"/>
        <v>552.93333333333339</v>
      </c>
      <c r="Q15" s="947">
        <f t="shared" ca="1" si="1"/>
        <v>142455.95818567346</v>
      </c>
    </row>
    <row r="17" spans="1:17">
      <c r="A17" s="455" t="s">
        <v>548</v>
      </c>
      <c r="B17" s="754">
        <f ca="1">huishoudens!B10</f>
        <v>0.20250787334411469</v>
      </c>
      <c r="C17" s="754">
        <f ca="1">huishoudens!C10</f>
        <v>0.23764705882352943</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2822.6154580992575</v>
      </c>
      <c r="C22" s="445">
        <f t="shared" ref="C22:C32" ca="1" si="3">C4*$C$17</f>
        <v>0</v>
      </c>
      <c r="D22" s="445">
        <f t="shared" ref="D22:D32" si="4">D4*$D$17</f>
        <v>3476.1936704793752</v>
      </c>
      <c r="E22" s="445">
        <f t="shared" ref="E22:E32" si="5">E4*$E$17</f>
        <v>242.30435856116745</v>
      </c>
      <c r="F22" s="445">
        <f t="shared" ref="F22:F32" si="6">F4*$F$17</f>
        <v>7220.6519176883312</v>
      </c>
      <c r="G22" s="445">
        <f t="shared" ref="G22:G32" si="7">G4*$G$17</f>
        <v>0</v>
      </c>
      <c r="H22" s="445">
        <f t="shared" ref="H22:H32" si="8">H4*$H$17</f>
        <v>0</v>
      </c>
      <c r="I22" s="445">
        <f t="shared" ref="I22:I32" si="9">I4*$I$17</f>
        <v>0</v>
      </c>
      <c r="J22" s="445">
        <f t="shared" ref="J22:J32" si="10">J4*$J$17</f>
        <v>46.06636065445749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13807.831765482588</v>
      </c>
    </row>
    <row r="23" spans="1:17">
      <c r="A23" s="444" t="s">
        <v>155</v>
      </c>
      <c r="B23" s="445">
        <f t="shared" ca="1" si="2"/>
        <v>1072.580520252031</v>
      </c>
      <c r="C23" s="445">
        <f t="shared" ca="1" si="3"/>
        <v>8.0969747899159685</v>
      </c>
      <c r="D23" s="445">
        <f t="shared" ca="1" si="4"/>
        <v>780.25235667450715</v>
      </c>
      <c r="E23" s="445">
        <f t="shared" si="5"/>
        <v>20.166785447427419</v>
      </c>
      <c r="F23" s="445">
        <f t="shared" ca="1" si="6"/>
        <v>240.50602641043861</v>
      </c>
      <c r="G23" s="445">
        <f t="shared" si="7"/>
        <v>0</v>
      </c>
      <c r="H23" s="445">
        <f t="shared" si="8"/>
        <v>0</v>
      </c>
      <c r="I23" s="445">
        <f t="shared" si="9"/>
        <v>0</v>
      </c>
      <c r="J23" s="445">
        <f t="shared" si="10"/>
        <v>3.5678835906019224E-3</v>
      </c>
      <c r="K23" s="445">
        <f t="shared" si="11"/>
        <v>0</v>
      </c>
      <c r="L23" s="445">
        <f t="shared" ca="1" si="12"/>
        <v>0</v>
      </c>
      <c r="M23" s="445">
        <f t="shared" si="13"/>
        <v>0</v>
      </c>
      <c r="N23" s="445">
        <f t="shared" ca="1" si="14"/>
        <v>0</v>
      </c>
      <c r="O23" s="445">
        <f t="shared" si="15"/>
        <v>0</v>
      </c>
      <c r="P23" s="446">
        <f t="shared" si="16"/>
        <v>0</v>
      </c>
      <c r="Q23" s="444">
        <f t="shared" ref="Q23:Q32" ca="1" si="17">SUM(B23:P23)</f>
        <v>2121.6062314579108</v>
      </c>
    </row>
    <row r="24" spans="1:17">
      <c r="A24" s="444" t="s">
        <v>193</v>
      </c>
      <c r="B24" s="445">
        <f t="shared" ca="1" si="2"/>
        <v>104.1852381387134</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104.1852381387134</v>
      </c>
    </row>
    <row r="25" spans="1:17">
      <c r="A25" s="444" t="s">
        <v>111</v>
      </c>
      <c r="B25" s="445">
        <f t="shared" ca="1" si="2"/>
        <v>118.87443393592865</v>
      </c>
      <c r="C25" s="445">
        <f t="shared" ca="1" si="3"/>
        <v>0</v>
      </c>
      <c r="D25" s="445">
        <f t="shared" si="4"/>
        <v>9.2116073727406107</v>
      </c>
      <c r="E25" s="445">
        <f t="shared" si="5"/>
        <v>3.9166712844500746</v>
      </c>
      <c r="F25" s="445">
        <f t="shared" si="6"/>
        <v>652.93724540106882</v>
      </c>
      <c r="G25" s="445">
        <f t="shared" si="7"/>
        <v>0</v>
      </c>
      <c r="H25" s="445">
        <f t="shared" si="8"/>
        <v>0</v>
      </c>
      <c r="I25" s="445">
        <f t="shared" si="9"/>
        <v>0</v>
      </c>
      <c r="J25" s="445">
        <f t="shared" si="10"/>
        <v>30.106053293974004</v>
      </c>
      <c r="K25" s="445">
        <f t="shared" si="11"/>
        <v>0</v>
      </c>
      <c r="L25" s="445">
        <f t="shared" si="12"/>
        <v>0</v>
      </c>
      <c r="M25" s="445">
        <f t="shared" si="13"/>
        <v>0</v>
      </c>
      <c r="N25" s="445">
        <f t="shared" si="14"/>
        <v>0</v>
      </c>
      <c r="O25" s="445">
        <f t="shared" si="15"/>
        <v>0</v>
      </c>
      <c r="P25" s="446">
        <f t="shared" si="16"/>
        <v>0</v>
      </c>
      <c r="Q25" s="444">
        <f t="shared" ca="1" si="17"/>
        <v>815.04601128816216</v>
      </c>
    </row>
    <row r="26" spans="1:17">
      <c r="A26" s="444" t="s">
        <v>627</v>
      </c>
      <c r="B26" s="445">
        <f t="shared" ca="1" si="2"/>
        <v>1130.7562493102971</v>
      </c>
      <c r="C26" s="445">
        <f t="shared" ca="1" si="3"/>
        <v>0</v>
      </c>
      <c r="D26" s="445">
        <f t="shared" si="4"/>
        <v>1207.1173168546411</v>
      </c>
      <c r="E26" s="445">
        <f t="shared" si="5"/>
        <v>201.53566167663169</v>
      </c>
      <c r="F26" s="445">
        <f t="shared" si="6"/>
        <v>691.61231486860572</v>
      </c>
      <c r="G26" s="445">
        <f t="shared" si="7"/>
        <v>0</v>
      </c>
      <c r="H26" s="445">
        <f t="shared" si="8"/>
        <v>0</v>
      </c>
      <c r="I26" s="445">
        <f t="shared" si="9"/>
        <v>0</v>
      </c>
      <c r="J26" s="445">
        <f t="shared" si="10"/>
        <v>3.2183721220994812</v>
      </c>
      <c r="K26" s="445">
        <f t="shared" si="11"/>
        <v>0</v>
      </c>
      <c r="L26" s="445">
        <f t="shared" si="12"/>
        <v>0</v>
      </c>
      <c r="M26" s="445">
        <f t="shared" si="13"/>
        <v>0</v>
      </c>
      <c r="N26" s="445">
        <f t="shared" si="14"/>
        <v>0</v>
      </c>
      <c r="O26" s="445">
        <f t="shared" si="15"/>
        <v>0</v>
      </c>
      <c r="P26" s="446">
        <f t="shared" si="16"/>
        <v>0</v>
      </c>
      <c r="Q26" s="444">
        <f t="shared" ca="1" si="17"/>
        <v>3234.2399148322747</v>
      </c>
    </row>
    <row r="27" spans="1:17" s="450" customFormat="1">
      <c r="A27" s="448" t="s">
        <v>553</v>
      </c>
      <c r="B27" s="748">
        <f t="shared" ca="1" si="2"/>
        <v>5.3736202471629744</v>
      </c>
      <c r="C27" s="449">
        <f t="shared" ca="1" si="3"/>
        <v>0</v>
      </c>
      <c r="D27" s="449">
        <f t="shared" si="4"/>
        <v>9.3200163606102429</v>
      </c>
      <c r="E27" s="449">
        <f t="shared" si="5"/>
        <v>18.256397621427109</v>
      </c>
      <c r="F27" s="449">
        <f t="shared" si="6"/>
        <v>0</v>
      </c>
      <c r="G27" s="449">
        <f t="shared" si="7"/>
        <v>9910.5019024676785</v>
      </c>
      <c r="H27" s="449">
        <f t="shared" si="8"/>
        <v>1847.7958463219657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11791.247783018844</v>
      </c>
    </row>
    <row r="28" spans="1:17">
      <c r="A28" s="444" t="s">
        <v>543</v>
      </c>
      <c r="B28" s="445">
        <f t="shared" ca="1" si="2"/>
        <v>0.44775562673551866</v>
      </c>
      <c r="C28" s="445">
        <f t="shared" ca="1" si="3"/>
        <v>0</v>
      </c>
      <c r="D28" s="445">
        <f t="shared" si="4"/>
        <v>0</v>
      </c>
      <c r="E28" s="445">
        <f t="shared" si="5"/>
        <v>0</v>
      </c>
      <c r="F28" s="445">
        <f t="shared" si="6"/>
        <v>0</v>
      </c>
      <c r="G28" s="445">
        <f t="shared" si="7"/>
        <v>55.457629120195676</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55.905384746931198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59.76297139931674</v>
      </c>
      <c r="C32" s="445">
        <f t="shared" ca="1" si="3"/>
        <v>0</v>
      </c>
      <c r="D32" s="445">
        <f t="shared" si="4"/>
        <v>46.96291379323447</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106.7258851925512</v>
      </c>
    </row>
    <row r="33" spans="1:17" s="454" customFormat="1">
      <c r="A33" s="999" t="s">
        <v>547</v>
      </c>
      <c r="B33" s="947">
        <f ca="1">SUM(B22:B32)</f>
        <v>5314.5962470094419</v>
      </c>
      <c r="C33" s="947">
        <f t="shared" ref="C33:Q33" ca="1" si="18">SUM(C22:C32)</f>
        <v>8.0969747899159685</v>
      </c>
      <c r="D33" s="947">
        <f t="shared" ca="1" si="18"/>
        <v>5529.0578815351091</v>
      </c>
      <c r="E33" s="947">
        <f t="shared" si="18"/>
        <v>486.17987459110367</v>
      </c>
      <c r="F33" s="947">
        <f t="shared" ca="1" si="18"/>
        <v>8805.7075043684454</v>
      </c>
      <c r="G33" s="947">
        <f t="shared" si="18"/>
        <v>9965.9595315878742</v>
      </c>
      <c r="H33" s="947">
        <f t="shared" si="18"/>
        <v>1847.7958463219657</v>
      </c>
      <c r="I33" s="947">
        <f t="shared" si="18"/>
        <v>0</v>
      </c>
      <c r="J33" s="947">
        <f t="shared" si="18"/>
        <v>79.394353954121584</v>
      </c>
      <c r="K33" s="947">
        <f t="shared" si="18"/>
        <v>0</v>
      </c>
      <c r="L33" s="947">
        <f t="shared" ca="1" si="18"/>
        <v>0</v>
      </c>
      <c r="M33" s="947">
        <f t="shared" si="18"/>
        <v>0</v>
      </c>
      <c r="N33" s="947">
        <f t="shared" ca="1" si="18"/>
        <v>0</v>
      </c>
      <c r="O33" s="947">
        <f t="shared" si="18"/>
        <v>0</v>
      </c>
      <c r="P33" s="947">
        <f t="shared" si="18"/>
        <v>0</v>
      </c>
      <c r="Q33" s="947">
        <f t="shared" ca="1" si="18"/>
        <v>32036.788214157972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2197.7490642706971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23.85</v>
      </c>
      <c r="D8" s="1016">
        <f>'SEAP template'!D76</f>
        <v>28.058823529411768</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5.6678823529411773</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2197.7490642706971</v>
      </c>
      <c r="C10" s="1020">
        <f>SUM(C4:C9)</f>
        <v>23.85</v>
      </c>
      <c r="D10" s="1020">
        <f t="shared" ref="D10:H10" si="0">SUM(D8:D9)</f>
        <v>28.058823529411768</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5.6678823529411773</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0.20250787334411469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34.071428571428577</v>
      </c>
      <c r="D17" s="1017">
        <f>'SEAP template'!D87</f>
        <v>40.084033613445385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8.0969747899159685</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34.071428571428577</v>
      </c>
      <c r="D20" s="1020">
        <f t="shared" ref="D20:H20" si="2">SUM(D17:D19)</f>
        <v>40.084033613445385</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8.0969747899159685</v>
      </c>
    </row>
    <row r="22" spans="1:16">
      <c r="A22" s="455" t="s">
        <v>833</v>
      </c>
      <c r="B22" s="754" t="s">
        <v>827</v>
      </c>
      <c r="C22" s="75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0.20250787334411469</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0.20250787334411469</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0.20250787334411469</v>
      </c>
      <c r="C29" s="493">
        <f ca="1">'EF ele_warmte'!B22</f>
        <v>0.23764705882352943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3041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1570.86</v>
      </c>
      <c r="C14" s="324"/>
      <c r="D14" s="324"/>
      <c r="E14" s="324"/>
      <c r="F14" s="324"/>
    </row>
    <row r="15" spans="1:6">
      <c r="A15" s="1291" t="s">
        <v>183</v>
      </c>
      <c r="B15" s="1292">
        <v>10</v>
      </c>
      <c r="C15" s="324"/>
      <c r="D15" s="324"/>
      <c r="E15" s="324"/>
      <c r="F15" s="324"/>
    </row>
    <row r="16" spans="1:6">
      <c r="A16" s="1291" t="s">
        <v>6</v>
      </c>
      <c r="B16" s="1292">
        <v>343</v>
      </c>
      <c r="C16" s="324"/>
      <c r="D16" s="324"/>
      <c r="E16" s="324"/>
      <c r="F16" s="324"/>
    </row>
    <row r="17" spans="1:6">
      <c r="A17" s="1291" t="s">
        <v>7</v>
      </c>
      <c r="B17" s="1292">
        <v>244</v>
      </c>
      <c r="C17" s="324"/>
      <c r="D17" s="324"/>
      <c r="E17" s="324"/>
      <c r="F17" s="324"/>
    </row>
    <row r="18" spans="1:6">
      <c r="A18" s="1291" t="s">
        <v>8</v>
      </c>
      <c r="B18" s="1292">
        <v>399</v>
      </c>
      <c r="C18" s="324"/>
      <c r="D18" s="324"/>
      <c r="E18" s="324"/>
      <c r="F18" s="324"/>
    </row>
    <row r="19" spans="1:6">
      <c r="A19" s="1291" t="s">
        <v>9</v>
      </c>
      <c r="B19" s="1292">
        <v>378</v>
      </c>
      <c r="C19" s="324"/>
      <c r="D19" s="324"/>
      <c r="E19" s="324"/>
      <c r="F19" s="324"/>
    </row>
    <row r="20" spans="1:6">
      <c r="A20" s="1291" t="s">
        <v>10</v>
      </c>
      <c r="B20" s="1292">
        <v>327</v>
      </c>
      <c r="C20" s="324"/>
      <c r="D20" s="324"/>
      <c r="E20" s="324"/>
      <c r="F20" s="324"/>
    </row>
    <row r="21" spans="1:6">
      <c r="A21" s="1291" t="s">
        <v>11</v>
      </c>
      <c r="B21" s="1292">
        <v>1778</v>
      </c>
      <c r="C21" s="324"/>
      <c r="D21" s="324"/>
      <c r="E21" s="324"/>
      <c r="F21" s="324"/>
    </row>
    <row r="22" spans="1:6">
      <c r="A22" s="1291" t="s">
        <v>12</v>
      </c>
      <c r="B22" s="1292">
        <v>3136</v>
      </c>
      <c r="C22" s="324"/>
      <c r="D22" s="324"/>
      <c r="E22" s="324"/>
      <c r="F22" s="324"/>
    </row>
    <row r="23" spans="1:6">
      <c r="A23" s="1291" t="s">
        <v>13</v>
      </c>
      <c r="B23" s="1292">
        <v>61</v>
      </c>
      <c r="C23" s="324"/>
      <c r="D23" s="324"/>
      <c r="E23" s="324"/>
      <c r="F23" s="324"/>
    </row>
    <row r="24" spans="1:6">
      <c r="A24" s="1291" t="s">
        <v>14</v>
      </c>
      <c r="B24" s="1292">
        <v>5</v>
      </c>
      <c r="C24" s="324"/>
      <c r="D24" s="324"/>
      <c r="E24" s="324"/>
      <c r="F24" s="324"/>
    </row>
    <row r="25" spans="1:6">
      <c r="A25" s="1291" t="s">
        <v>15</v>
      </c>
      <c r="B25" s="1292">
        <v>508</v>
      </c>
      <c r="C25" s="324"/>
      <c r="D25" s="324"/>
      <c r="E25" s="324"/>
      <c r="F25" s="324"/>
    </row>
    <row r="26" spans="1:6">
      <c r="A26" s="1291" t="s">
        <v>16</v>
      </c>
      <c r="B26" s="1292">
        <v>97</v>
      </c>
      <c r="C26" s="324"/>
      <c r="D26" s="324"/>
      <c r="E26" s="324"/>
      <c r="F26" s="324"/>
    </row>
    <row r="27" spans="1:6">
      <c r="A27" s="1291" t="s">
        <v>17</v>
      </c>
      <c r="B27" s="1292">
        <v>1</v>
      </c>
      <c r="C27" s="324"/>
      <c r="D27" s="324"/>
      <c r="E27" s="324"/>
      <c r="F27" s="324"/>
    </row>
    <row r="28" spans="1:6" s="43" customFormat="1">
      <c r="A28" s="1293" t="s">
        <v>18</v>
      </c>
      <c r="B28" s="1294">
        <v>19967</v>
      </c>
      <c r="C28" s="330"/>
      <c r="D28" s="330"/>
      <c r="E28" s="330"/>
      <c r="F28" s="330"/>
    </row>
    <row r="29" spans="1:6">
      <c r="A29" s="1293" t="s">
        <v>722</v>
      </c>
      <c r="B29" s="1294">
        <v>100</v>
      </c>
      <c r="C29" s="330"/>
      <c r="D29" s="330"/>
      <c r="E29" s="330"/>
      <c r="F29" s="330"/>
    </row>
    <row r="30" spans="1:6">
      <c r="A30" s="1286" t="s">
        <v>723</v>
      </c>
      <c r="B30" s="1295">
        <v>14</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75282</v>
      </c>
    </row>
    <row r="39" spans="1:6">
      <c r="A39" s="1291" t="s">
        <v>29</v>
      </c>
      <c r="B39" s="1291" t="s">
        <v>30</v>
      </c>
      <c r="C39" s="1292">
        <v>1242</v>
      </c>
      <c r="D39" s="1292">
        <v>19078580.439943001</v>
      </c>
      <c r="E39" s="1292">
        <v>2875</v>
      </c>
      <c r="F39" s="1292">
        <v>12016185.393716101</v>
      </c>
    </row>
    <row r="40" spans="1:6">
      <c r="A40" s="1291" t="s">
        <v>29</v>
      </c>
      <c r="B40" s="1291" t="s">
        <v>28</v>
      </c>
      <c r="C40" s="1292">
        <v>0</v>
      </c>
      <c r="D40" s="1292">
        <v>0</v>
      </c>
      <c r="E40" s="1292">
        <v>0</v>
      </c>
      <c r="F40" s="1292">
        <v>0</v>
      </c>
    </row>
    <row r="41" spans="1:6">
      <c r="A41" s="1291" t="s">
        <v>31</v>
      </c>
      <c r="B41" s="1291" t="s">
        <v>32</v>
      </c>
      <c r="C41" s="1292">
        <v>22</v>
      </c>
      <c r="D41" s="1292">
        <v>541465.18045055401</v>
      </c>
      <c r="E41" s="1292">
        <v>87</v>
      </c>
      <c r="F41" s="1292">
        <v>2552849.2266571601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32371.3135589226</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26</v>
      </c>
      <c r="D48" s="1292">
        <v>6083621.6280423496</v>
      </c>
      <c r="E48" s="1292">
        <v>30</v>
      </c>
      <c r="F48" s="1292">
        <v>2539523.7327473201</v>
      </c>
    </row>
    <row r="49" spans="1:6">
      <c r="A49" s="1291" t="s">
        <v>31</v>
      </c>
      <c r="B49" s="1291" t="s">
        <v>39</v>
      </c>
      <c r="C49" s="1292">
        <v>0</v>
      </c>
      <c r="D49" s="1292">
        <v>0</v>
      </c>
      <c r="E49" s="1292">
        <v>3</v>
      </c>
      <c r="F49" s="1292">
        <v>98186.870971464494</v>
      </c>
    </row>
    <row r="50" spans="1:6">
      <c r="A50" s="1291" t="s">
        <v>31</v>
      </c>
      <c r="B50" s="1291" t="s">
        <v>40</v>
      </c>
      <c r="C50" s="1292">
        <v>0</v>
      </c>
      <c r="D50" s="1292">
        <v>0</v>
      </c>
      <c r="E50" s="1292">
        <v>8</v>
      </c>
      <c r="F50" s="1292">
        <v>360833.23340784298</v>
      </c>
    </row>
    <row r="51" spans="1:6">
      <c r="A51" s="1291" t="s">
        <v>41</v>
      </c>
      <c r="B51" s="1291" t="s">
        <v>42</v>
      </c>
      <c r="C51" s="1292">
        <v>0</v>
      </c>
      <c r="D51" s="1292">
        <v>0</v>
      </c>
      <c r="E51" s="1292">
        <v>33</v>
      </c>
      <c r="F51" s="1292">
        <v>438368.50712827599</v>
      </c>
    </row>
    <row r="52" spans="1:6">
      <c r="A52" s="1291" t="s">
        <v>41</v>
      </c>
      <c r="B52" s="1291" t="s">
        <v>28</v>
      </c>
      <c r="C52" s="1292">
        <v>2</v>
      </c>
      <c r="D52" s="1292">
        <v>50556.559530749102</v>
      </c>
      <c r="E52" s="1292">
        <v>7</v>
      </c>
      <c r="F52" s="1292">
        <v>148642.91110892699</v>
      </c>
    </row>
    <row r="53" spans="1:6">
      <c r="A53" s="1291" t="s">
        <v>43</v>
      </c>
      <c r="B53" s="1291" t="s">
        <v>44</v>
      </c>
      <c r="C53" s="1292">
        <v>19</v>
      </c>
      <c r="D53" s="1292">
        <v>232489.672243735</v>
      </c>
      <c r="E53" s="1292">
        <v>100</v>
      </c>
      <c r="F53" s="1292">
        <v>295114.31043356803</v>
      </c>
    </row>
    <row r="54" spans="1:6">
      <c r="A54" s="1291" t="s">
        <v>45</v>
      </c>
      <c r="B54" s="1291" t="s">
        <v>46</v>
      </c>
      <c r="C54" s="1292">
        <v>0</v>
      </c>
      <c r="D54" s="1292">
        <v>0</v>
      </c>
      <c r="E54" s="1292">
        <v>1</v>
      </c>
      <c r="F54" s="1292">
        <v>514475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v>
      </c>
      <c r="D57" s="1292">
        <v>144907.784141526</v>
      </c>
      <c r="E57" s="1292">
        <v>31</v>
      </c>
      <c r="F57" s="1292">
        <v>321686.02277448401</v>
      </c>
    </row>
    <row r="58" spans="1:6">
      <c r="A58" s="1291" t="s">
        <v>48</v>
      </c>
      <c r="B58" s="1291" t="s">
        <v>50</v>
      </c>
      <c r="C58" s="1292">
        <v>4</v>
      </c>
      <c r="D58" s="1292">
        <v>82092.521341497704</v>
      </c>
      <c r="E58" s="1292">
        <v>19</v>
      </c>
      <c r="F58" s="1292">
        <v>124113.27819154201</v>
      </c>
    </row>
    <row r="59" spans="1:6">
      <c r="A59" s="1291" t="s">
        <v>48</v>
      </c>
      <c r="B59" s="1291" t="s">
        <v>51</v>
      </c>
      <c r="C59" s="1292">
        <v>4</v>
      </c>
      <c r="D59" s="1292">
        <v>102634.346267131</v>
      </c>
      <c r="E59" s="1292">
        <v>58</v>
      </c>
      <c r="F59" s="1292">
        <v>1601122.67377896</v>
      </c>
    </row>
    <row r="60" spans="1:6">
      <c r="A60" s="1291" t="s">
        <v>48</v>
      </c>
      <c r="B60" s="1291" t="s">
        <v>52</v>
      </c>
      <c r="C60" s="1292">
        <v>15</v>
      </c>
      <c r="D60" s="1292">
        <v>544592.78713424597</v>
      </c>
      <c r="E60" s="1292">
        <v>31</v>
      </c>
      <c r="F60" s="1292">
        <v>1012087.24722479</v>
      </c>
    </row>
    <row r="61" spans="1:6">
      <c r="A61" s="1291" t="s">
        <v>48</v>
      </c>
      <c r="B61" s="1291" t="s">
        <v>53</v>
      </c>
      <c r="C61" s="1292">
        <v>27</v>
      </c>
      <c r="D61" s="1292">
        <v>1088785.17888493</v>
      </c>
      <c r="E61" s="1292">
        <v>105</v>
      </c>
      <c r="F61" s="1292">
        <v>935002.98129402206</v>
      </c>
    </row>
    <row r="62" spans="1:6">
      <c r="A62" s="1291" t="s">
        <v>48</v>
      </c>
      <c r="B62" s="1291" t="s">
        <v>54</v>
      </c>
      <c r="C62" s="1292">
        <v>0</v>
      </c>
      <c r="D62" s="1292">
        <v>0</v>
      </c>
      <c r="E62" s="1292">
        <v>0</v>
      </c>
      <c r="F62" s="1292">
        <v>0</v>
      </c>
    </row>
    <row r="63" spans="1:6">
      <c r="A63" s="1291" t="s">
        <v>48</v>
      </c>
      <c r="B63" s="1291" t="s">
        <v>28</v>
      </c>
      <c r="C63" s="1292">
        <v>58</v>
      </c>
      <c r="D63" s="1292">
        <v>2394834.7062046998</v>
      </c>
      <c r="E63" s="1292">
        <v>84</v>
      </c>
      <c r="F63" s="1292">
        <v>1278625.79268405</v>
      </c>
    </row>
    <row r="64" spans="1:6">
      <c r="A64" s="1291" t="s">
        <v>55</v>
      </c>
      <c r="B64" s="1291" t="s">
        <v>56</v>
      </c>
      <c r="C64" s="1292">
        <v>0</v>
      </c>
      <c r="D64" s="1292">
        <v>0</v>
      </c>
      <c r="E64" s="1292">
        <v>0</v>
      </c>
      <c r="F64" s="1292">
        <v>0</v>
      </c>
    </row>
    <row r="65" spans="1:6">
      <c r="A65" s="1291" t="s">
        <v>55</v>
      </c>
      <c r="B65" s="1291" t="s">
        <v>28</v>
      </c>
      <c r="C65" s="1292">
        <v>0</v>
      </c>
      <c r="D65" s="1292">
        <v>0</v>
      </c>
      <c r="E65" s="1292">
        <v>1</v>
      </c>
      <c r="F65" s="1292">
        <v>8213.2939257731996</v>
      </c>
    </row>
    <row r="66" spans="1:6">
      <c r="A66" s="1291" t="s">
        <v>55</v>
      </c>
      <c r="B66" s="1291" t="s">
        <v>57</v>
      </c>
      <c r="C66" s="1292">
        <v>0</v>
      </c>
      <c r="D66" s="1292">
        <v>0</v>
      </c>
      <c r="E66" s="1292">
        <v>5</v>
      </c>
      <c r="F66" s="1292">
        <v>169053.479316276</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17685.0168974064</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43945858</v>
      </c>
      <c r="E73" s="443"/>
      <c r="F73" s="324"/>
    </row>
    <row r="74" spans="1:6">
      <c r="A74" s="1291" t="s">
        <v>63</v>
      </c>
      <c r="B74" s="1291" t="s">
        <v>648</v>
      </c>
      <c r="C74" s="1305" t="s">
        <v>650</v>
      </c>
      <c r="D74" s="1306">
        <v>4938851</v>
      </c>
      <c r="E74" s="443"/>
      <c r="F74" s="324"/>
    </row>
    <row r="75" spans="1:6">
      <c r="A75" s="1291" t="s">
        <v>64</v>
      </c>
      <c r="B75" s="1291" t="s">
        <v>647</v>
      </c>
      <c r="C75" s="1305" t="s">
        <v>651</v>
      </c>
      <c r="D75" s="1306">
        <v>7301523</v>
      </c>
      <c r="E75" s="443"/>
      <c r="F75" s="324"/>
    </row>
    <row r="76" spans="1:6">
      <c r="A76" s="1291" t="s">
        <v>64</v>
      </c>
      <c r="B76" s="1291" t="s">
        <v>648</v>
      </c>
      <c r="C76" s="1305" t="s">
        <v>652</v>
      </c>
      <c r="D76" s="1306">
        <v>215847</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60348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1922.1144436580441</v>
      </c>
      <c r="C91" s="324"/>
      <c r="D91" s="324"/>
      <c r="E91" s="324"/>
      <c r="F91" s="324"/>
    </row>
    <row r="92" spans="1:6">
      <c r="A92" s="1286" t="s">
        <v>68</v>
      </c>
      <c r="B92" s="1287">
        <v>275.63462061265318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173</v>
      </c>
      <c r="C97" s="324"/>
      <c r="D97" s="324"/>
      <c r="E97" s="324"/>
      <c r="F97" s="324"/>
    </row>
    <row r="98" spans="1:6">
      <c r="A98" s="1291" t="s">
        <v>71</v>
      </c>
      <c r="B98" s="1292">
        <v>0</v>
      </c>
      <c r="C98" s="324"/>
      <c r="D98" s="324"/>
      <c r="E98" s="324"/>
      <c r="F98" s="324"/>
    </row>
    <row r="99" spans="1:6">
      <c r="A99" s="1291" t="s">
        <v>72</v>
      </c>
      <c r="B99" s="1292">
        <v>52</v>
      </c>
      <c r="C99" s="324"/>
      <c r="D99" s="324"/>
      <c r="E99" s="324"/>
      <c r="F99" s="324"/>
    </row>
    <row r="100" spans="1:6">
      <c r="A100" s="1291" t="s">
        <v>73</v>
      </c>
      <c r="B100" s="1292">
        <v>289</v>
      </c>
      <c r="C100" s="324"/>
      <c r="D100" s="324"/>
      <c r="E100" s="324"/>
      <c r="F100" s="324"/>
    </row>
    <row r="101" spans="1:6">
      <c r="A101" s="1291" t="s">
        <v>74</v>
      </c>
      <c r="B101" s="1292">
        <v>47</v>
      </c>
      <c r="C101" s="324"/>
      <c r="D101" s="324"/>
      <c r="E101" s="324"/>
      <c r="F101" s="324"/>
    </row>
    <row r="102" spans="1:6">
      <c r="A102" s="1291" t="s">
        <v>75</v>
      </c>
      <c r="B102" s="1292">
        <v>50</v>
      </c>
      <c r="C102" s="324"/>
      <c r="D102" s="324"/>
      <c r="E102" s="324"/>
      <c r="F102" s="324"/>
    </row>
    <row r="103" spans="1:6">
      <c r="A103" s="1291" t="s">
        <v>76</v>
      </c>
      <c r="B103" s="1292">
        <v>97</v>
      </c>
      <c r="C103" s="324"/>
      <c r="D103" s="324"/>
      <c r="E103" s="324"/>
      <c r="F103" s="324"/>
    </row>
    <row r="104" spans="1:6">
      <c r="A104" s="1291" t="s">
        <v>77</v>
      </c>
      <c r="B104" s="1292">
        <v>1833</v>
      </c>
      <c r="C104" s="324"/>
      <c r="D104" s="324"/>
      <c r="E104" s="324"/>
      <c r="F104" s="324"/>
    </row>
    <row r="105" spans="1:6">
      <c r="A105" s="1286" t="s">
        <v>78</v>
      </c>
      <c r="B105" s="129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13</v>
      </c>
      <c r="C123" s="1292">
        <v>12</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107</v>
      </c>
      <c r="C129" s="324"/>
      <c r="D129" s="324"/>
      <c r="E129" s="324"/>
      <c r="F129" s="324"/>
    </row>
    <row r="130" spans="1:6">
      <c r="A130" s="1291" t="s">
        <v>289</v>
      </c>
      <c r="B130" s="1292">
        <v>2</v>
      </c>
      <c r="C130" s="324"/>
      <c r="D130" s="324"/>
      <c r="E130" s="324"/>
      <c r="F130" s="324"/>
    </row>
    <row r="131" spans="1:6">
      <c r="A131" s="1291" t="s">
        <v>290</v>
      </c>
      <c r="B131" s="1292">
        <v>3</v>
      </c>
      <c r="C131" s="324"/>
      <c r="D131" s="324"/>
      <c r="E131" s="324"/>
      <c r="F131" s="324"/>
    </row>
    <row r="132" spans="1:6">
      <c r="A132" s="1286" t="s">
        <v>291</v>
      </c>
      <c r="B132" s="1287">
        <v>13</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26243.899356834052</v>
      </c>
      <c r="C3" s="43" t="s">
        <v>169</v>
      </c>
      <c r="D3" s="43"/>
      <c r="E3" s="154"/>
      <c r="F3" s="43"/>
      <c r="G3" s="43"/>
      <c r="H3" s="43"/>
      <c r="I3" s="43"/>
      <c r="J3" s="43"/>
      <c r="K3" s="96"/>
    </row>
    <row r="4" spans="1:11">
      <c r="A4" s="352" t="s">
        <v>170</v>
      </c>
      <c r="B4" s="49">
        <f>IF(ISERROR('SEAP template'!B78+'SEAP template'!C78),0,'SEAP template'!B78+'SEAP template'!C78)</f>
        <v>2221.599064270697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5.6678823529411773</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0.20250787334411469</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8.0969747899159685</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34.071428571428577</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0.23764705882352943</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514.47500000000002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514.47500000000002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0.20250787334411469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104.1852381387134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12016.185393716101</v>
      </c>
      <c r="C5" s="17">
        <f>IF(ISERROR('Eigen informatie GS &amp; warmtenet'!B57),0,'Eigen informatie GS &amp; warmtenet'!B57)</f>
        <v>0</v>
      </c>
      <c r="D5" s="30">
        <f>(SUM(HH_hh_gas_kWh,HH_rest_gas_kWh)/1000)*0.902</f>
        <v>17208.87955682859</v>
      </c>
      <c r="E5" s="17">
        <f>B32*B41</f>
        <v>1067.4200817672574</v>
      </c>
      <c r="F5" s="17">
        <f>B36*B45</f>
        <v>27043.640141154796</v>
      </c>
      <c r="G5" s="18"/>
      <c r="H5" s="17"/>
      <c r="I5" s="17"/>
      <c r="J5" s="17">
        <f>B35*B44+C35*C44</f>
        <v>130.13096230072739</v>
      </c>
      <c r="K5" s="17"/>
      <c r="L5" s="17"/>
      <c r="M5" s="17"/>
      <c r="N5" s="17">
        <f>B34*B43+C34*C43</f>
        <v>4759.3291472246265</v>
      </c>
      <c r="O5" s="17">
        <f>B52*B53*B54</f>
        <v>187.6</v>
      </c>
      <c r="P5" s="17">
        <f>B60*B61*B62/1000-B60*B61*B62/1000/B63</f>
        <v>495.73333333333335</v>
      </c>
    </row>
    <row r="6" spans="1:16">
      <c r="A6" s="16" t="s">
        <v>613</v>
      </c>
      <c r="B6" s="756">
        <f>kWh_PV_kleiner_dan_10kW</f>
        <v>1922.1144436580441</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13938.299837374145</v>
      </c>
      <c r="C8" s="21">
        <f>C5</f>
        <v>0</v>
      </c>
      <c r="D8" s="21">
        <f>D5</f>
        <v>17208.87955682859</v>
      </c>
      <c r="E8" s="21">
        <f>E5</f>
        <v>1067.4200817672574</v>
      </c>
      <c r="F8" s="21">
        <f>F5</f>
        <v>27043.640141154796</v>
      </c>
      <c r="G8" s="21"/>
      <c r="H8" s="21"/>
      <c r="I8" s="21"/>
      <c r="J8" s="21">
        <f>J5</f>
        <v>130.13096230072739</v>
      </c>
      <c r="K8" s="21"/>
      <c r="L8" s="21">
        <f>L5</f>
        <v>0</v>
      </c>
      <c r="M8" s="21">
        <f>M5</f>
        <v>0</v>
      </c>
      <c r="N8" s="21">
        <f>N5</f>
        <v>4759.3291472246265</v>
      </c>
      <c r="O8" s="21">
        <f>O5</f>
        <v>187.6</v>
      </c>
      <c r="P8" s="21">
        <f>P5</f>
        <v>495.73333333333335</v>
      </c>
    </row>
    <row r="9" spans="1:16">
      <c r="B9" s="19"/>
      <c r="C9" s="19"/>
      <c r="D9" s="254"/>
      <c r="E9" s="19"/>
      <c r="F9" s="19"/>
      <c r="G9" s="19"/>
      <c r="H9" s="19"/>
      <c r="I9" s="19"/>
      <c r="J9" s="19"/>
      <c r="K9" s="19"/>
      <c r="L9" s="19"/>
      <c r="M9" s="19"/>
      <c r="N9" s="19"/>
      <c r="O9" s="19"/>
      <c r="P9" s="19"/>
    </row>
    <row r="10" spans="1:16">
      <c r="A10" s="24" t="s">
        <v>213</v>
      </c>
      <c r="B10" s="25">
        <f ca="1">'EF ele_warmte'!B12</f>
        <v>0.20250787334411469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2822.6154580992575</v>
      </c>
      <c r="C12" s="23">
        <f ca="1">C10*C8</f>
        <v>0</v>
      </c>
      <c r="D12" s="23">
        <f>D8*D10</f>
        <v>3476.1936704793752</v>
      </c>
      <c r="E12" s="23">
        <f>E10*E8</f>
        <v>242.30435856116745</v>
      </c>
      <c r="F12" s="23">
        <f>F10*F8</f>
        <v>7220.6519176883312</v>
      </c>
      <c r="G12" s="23"/>
      <c r="H12" s="23"/>
      <c r="I12" s="23"/>
      <c r="J12" s="23">
        <f>J10*J8</f>
        <v>46.06636065445749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3041</v>
      </c>
      <c r="C26" s="36"/>
      <c r="D26" s="225"/>
    </row>
    <row r="27" spans="1:5" s="15" customFormat="1">
      <c r="A27" s="227" t="s">
        <v>768</v>
      </c>
      <c r="B27" s="37">
        <f>SUM(HH_hh_gas_aantal,HH_rest_gas_aantal)</f>
        <v>1242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1179.9000000000001</v>
      </c>
      <c r="C31" s="34" t="s">
        <v>110</v>
      </c>
      <c r="D31" s="171"/>
    </row>
    <row r="32" spans="1:5">
      <c r="A32" s="168" t="s">
        <v>72</v>
      </c>
      <c r="B32" s="33">
        <f>IF((B21*($B$26-($B$27-0.05*$B$27)-$B$60))&lt;0,0,B21*($B$26-($B$27-0.05*$B$27)-$B$60))</f>
        <v>20.187007088807533</v>
      </c>
      <c r="C32" s="34" t="s">
        <v>110</v>
      </c>
      <c r="D32" s="171"/>
    </row>
    <row r="33" spans="1:6">
      <c r="A33" s="168" t="s">
        <v>73</v>
      </c>
      <c r="B33" s="33">
        <f>IF((B22*($B$26-($B$27-0.05*$B$27)-$B$60))&lt;0,0,B22*($B$26-($B$27-0.05*$B$27)-$B$60))</f>
        <v>419.70482980478573</v>
      </c>
      <c r="C33" s="34" t="s">
        <v>110</v>
      </c>
      <c r="D33" s="171"/>
    </row>
    <row r="34" spans="1:6">
      <c r="A34" s="168" t="s">
        <v>74</v>
      </c>
      <c r="B34" s="33">
        <f>IF((B24*($B$26-($B$27-0.05*$B$27)-$B$60))&lt;0,0,B24*($B$26-($B$27-0.05*$B$27)-$B$60))</f>
        <v>83.464370415657825</v>
      </c>
      <c r="C34" s="33">
        <f>B26*C24</f>
        <v>622.47917403175359</v>
      </c>
      <c r="D34" s="230"/>
    </row>
    <row r="35" spans="1:6">
      <c r="A35" s="168" t="s">
        <v>76</v>
      </c>
      <c r="B35" s="33">
        <f>IF((B19*($B$26-($B$27-0.05*$B$27)-$B$60))&lt;0,0,B19*($B$26-($B$27-0.05*$B$27)-$B$60))</f>
        <v>15.279387587576512</v>
      </c>
      <c r="C35" s="33">
        <f>B35/2</f>
        <v>7.6396937937882559</v>
      </c>
      <c r="D35" s="230"/>
    </row>
    <row r="36" spans="1:6">
      <c r="A36" s="168" t="s">
        <v>77</v>
      </c>
      <c r="B36" s="33">
        <f>IF((B18*($B$26-($B$27-0.05*$B$27)-$B$60))&lt;0,0,B18*($B$26-($B$27-0.05*$B$27)-$B$60))</f>
        <v>1296.4644051031723</v>
      </c>
      <c r="C36" s="34" t="s">
        <v>110</v>
      </c>
      <c r="D36" s="171"/>
    </row>
    <row r="37" spans="1:6">
      <c r="A37" s="168" t="s">
        <v>78</v>
      </c>
      <c r="B37" s="33">
        <f>B60</f>
        <v>26</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120</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26</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5272.637995947849</v>
      </c>
      <c r="C5" s="17">
        <f>IF(ISERROR('Eigen informatie GS &amp; warmtenet'!B58),0,'Eigen informatie GS &amp; warmtenet'!B58)</f>
        <v>0</v>
      </c>
      <c r="D5" s="30">
        <f>SUM(D6:D12)</f>
        <v>3930.7782862245758</v>
      </c>
      <c r="E5" s="17">
        <f>SUM(E6:E12)</f>
        <v>88.840464526111973</v>
      </c>
      <c r="F5" s="17">
        <f>SUM(F6:F12)</f>
        <v>900.77163449602472</v>
      </c>
      <c r="G5" s="18"/>
      <c r="H5" s="17"/>
      <c r="I5" s="17"/>
      <c r="J5" s="17">
        <f>SUM(J6:J12)</f>
        <v>1.0078767205090176E-2</v>
      </c>
      <c r="K5" s="17"/>
      <c r="L5" s="17"/>
      <c r="M5" s="17"/>
      <c r="N5" s="17">
        <f>SUM(N6:N12)</f>
        <v>402.30093544998459</v>
      </c>
      <c r="O5" s="17">
        <f>B38*B39*B40</f>
        <v>3.1266666666666669</v>
      </c>
      <c r="P5" s="17">
        <f>B46*B47*B48/1000-B46*B47*B48/1000/B49</f>
        <v>57.2</v>
      </c>
      <c r="R5" s="32"/>
    </row>
    <row r="6" spans="1:18">
      <c r="A6" s="32" t="s">
        <v>53</v>
      </c>
      <c r="B6" s="37">
        <f>B26</f>
        <v>935.00298129402211</v>
      </c>
      <c r="C6" s="33"/>
      <c r="D6" s="37">
        <f>IF(ISERROR(TER_kantoor_gas_kWh/1000),0,TER_kantoor_gas_kWh/1000)*0.902</f>
        <v>982.08423135420685</v>
      </c>
      <c r="E6" s="33">
        <f>$C$26*'E Balans VL '!I12/100/3.6*1000000</f>
        <v>5.8602877096312483E-3</v>
      </c>
      <c r="F6" s="33">
        <f>$C$26*('E Balans VL '!L12+'E Balans VL '!N12)/100/3.6*1000000</f>
        <v>140.50482161341395</v>
      </c>
      <c r="G6" s="34"/>
      <c r="H6" s="33"/>
      <c r="I6" s="33"/>
      <c r="J6" s="33">
        <f>$C$26*('E Balans VL '!D12+'E Balans VL '!E12)/100/3.6*1000000</f>
        <v>0</v>
      </c>
      <c r="K6" s="33"/>
      <c r="L6" s="33"/>
      <c r="M6" s="33"/>
      <c r="N6" s="33">
        <f>$C$26*'E Balans VL '!Y12/100/3.6*1000000</f>
        <v>0.89419172220198684</v>
      </c>
      <c r="O6" s="33"/>
      <c r="P6" s="33"/>
      <c r="R6" s="32"/>
    </row>
    <row r="7" spans="1:18">
      <c r="A7" s="32" t="s">
        <v>52</v>
      </c>
      <c r="B7" s="37">
        <f t="shared" ref="B7:B12" si="0">B27</f>
        <v>1012.0872472247901</v>
      </c>
      <c r="C7" s="33"/>
      <c r="D7" s="37">
        <f>IF(ISERROR(TER_horeca_gas_kWh/1000),0,TER_horeca_gas_kWh/1000)*0.902</f>
        <v>491.22269399508991</v>
      </c>
      <c r="E7" s="33">
        <f>$C$27*'E Balans VL '!I9/100/3.6*1000000</f>
        <v>14.492920798705502</v>
      </c>
      <c r="F7" s="33">
        <f>$C$27*('E Balans VL '!L9+'E Balans VL '!N9)/100/3.6*1000000</f>
        <v>128.16362542206227</v>
      </c>
      <c r="G7" s="34"/>
      <c r="H7" s="33"/>
      <c r="I7" s="33"/>
      <c r="J7" s="33">
        <f>$C$27*('E Balans VL '!D9+'E Balans VL '!E9)/100/3.6*1000000</f>
        <v>0</v>
      </c>
      <c r="K7" s="33"/>
      <c r="L7" s="33"/>
      <c r="M7" s="33"/>
      <c r="N7" s="33">
        <f>$C$27*'E Balans VL '!Y9/100/3.6*1000000</f>
        <v>0.29095276896880434</v>
      </c>
      <c r="O7" s="33"/>
      <c r="P7" s="33"/>
      <c r="R7" s="32"/>
    </row>
    <row r="8" spans="1:18">
      <c r="A8" s="6" t="s">
        <v>51</v>
      </c>
      <c r="B8" s="37">
        <f t="shared" si="0"/>
        <v>1601.12267377896</v>
      </c>
      <c r="C8" s="33"/>
      <c r="D8" s="37">
        <f>IF(ISERROR(TER_handel_gas_kWh/1000),0,TER_handel_gas_kWh/1000)*0.902</f>
        <v>92.576180332952163</v>
      </c>
      <c r="E8" s="33">
        <f>$C$28*'E Balans VL '!I13/100/3.6*1000000</f>
        <v>58.072521936360438</v>
      </c>
      <c r="F8" s="33">
        <f>$C$28*('E Balans VL '!L13+'E Balans VL '!N13)/100/3.6*1000000</f>
        <v>308.39243936765178</v>
      </c>
      <c r="G8" s="34"/>
      <c r="H8" s="33"/>
      <c r="I8" s="33"/>
      <c r="J8" s="33">
        <f>$C$28*('E Balans VL '!D13+'E Balans VL '!E13)/100/3.6*1000000</f>
        <v>0</v>
      </c>
      <c r="K8" s="33"/>
      <c r="L8" s="33"/>
      <c r="M8" s="33"/>
      <c r="N8" s="33">
        <f>$C$28*'E Balans VL '!Y13/100/3.6*1000000</f>
        <v>2.217923305080864</v>
      </c>
      <c r="O8" s="33"/>
      <c r="P8" s="33"/>
      <c r="R8" s="32"/>
    </row>
    <row r="9" spans="1:18">
      <c r="A9" s="32" t="s">
        <v>50</v>
      </c>
      <c r="B9" s="37">
        <f t="shared" si="0"/>
        <v>124.11327819154201</v>
      </c>
      <c r="C9" s="33"/>
      <c r="D9" s="37">
        <f>IF(ISERROR(TER_gezond_gas_kWh/1000),0,TER_gezond_gas_kWh/1000)*0.902</f>
        <v>74.047454250030924</v>
      </c>
      <c r="E9" s="33">
        <f>$C$29*'E Balans VL '!I10/100/3.6*1000000</f>
        <v>7.7707166120318596E-3</v>
      </c>
      <c r="F9" s="33">
        <f>$C$29*('E Balans VL '!L10+'E Balans VL '!N10)/100/3.6*1000000</f>
        <v>18.437405364297422</v>
      </c>
      <c r="G9" s="34"/>
      <c r="H9" s="33"/>
      <c r="I9" s="33"/>
      <c r="J9" s="33">
        <f>$C$29*('E Balans VL '!D10+'E Balans VL '!E10)/100/3.6*1000000</f>
        <v>0</v>
      </c>
      <c r="K9" s="33"/>
      <c r="L9" s="33"/>
      <c r="M9" s="33"/>
      <c r="N9" s="33">
        <f>$C$29*'E Balans VL '!Y10/100/3.6*1000000</f>
        <v>1.9197961629744149</v>
      </c>
      <c r="O9" s="33"/>
      <c r="P9" s="33"/>
      <c r="R9" s="32"/>
    </row>
    <row r="10" spans="1:18">
      <c r="A10" s="32" t="s">
        <v>49</v>
      </c>
      <c r="B10" s="37">
        <f t="shared" si="0"/>
        <v>321.686022774484</v>
      </c>
      <c r="C10" s="33"/>
      <c r="D10" s="37">
        <f>IF(ISERROR(TER_ander_gas_kWh/1000),0,TER_ander_gas_kWh/1000)*0.902</f>
        <v>130.70682129565645</v>
      </c>
      <c r="E10" s="33">
        <f>$C$30*'E Balans VL '!I14/100/3.6*1000000</f>
        <v>0.3834382440310643</v>
      </c>
      <c r="F10" s="33">
        <f>$C$30*('E Balans VL '!L14+'E Balans VL '!N14)/100/3.6*1000000</f>
        <v>84.167364595129158</v>
      </c>
      <c r="G10" s="34"/>
      <c r="H10" s="33"/>
      <c r="I10" s="33"/>
      <c r="J10" s="33">
        <f>$C$30*('E Balans VL '!D14+'E Balans VL '!E14)/100/3.6*1000000</f>
        <v>6.982542580042746E-3</v>
      </c>
      <c r="K10" s="33"/>
      <c r="L10" s="33"/>
      <c r="M10" s="33"/>
      <c r="N10" s="33">
        <f>$C$30*'E Balans VL '!Y14/100/3.6*1000000</f>
        <v>273.16789899391443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1278.6257926840501</v>
      </c>
      <c r="C12" s="33"/>
      <c r="D12" s="37">
        <f>IF(ISERROR(TER_rest_gas_kWh/1000),0,TER_rest_gas_kWh/1000)*0.902</f>
        <v>2160.1409049966392</v>
      </c>
      <c r="E12" s="33">
        <f>$C$32*'E Balans VL '!I8/100/3.6*1000000</f>
        <v>15.877952542693309</v>
      </c>
      <c r="F12" s="33">
        <f>$C$32*('E Balans VL '!L8+'E Balans VL '!N8)/100/3.6*1000000</f>
        <v>221.10597813347013</v>
      </c>
      <c r="G12" s="34"/>
      <c r="H12" s="33"/>
      <c r="I12" s="33"/>
      <c r="J12" s="33">
        <f>$C$32*('E Balans VL '!D8+'E Balans VL '!E8)/100/3.6*1000000</f>
        <v>3.0962246250474303E-3</v>
      </c>
      <c r="K12" s="33"/>
      <c r="L12" s="33"/>
      <c r="M12" s="33"/>
      <c r="N12" s="33">
        <f>$C$32*'E Balans VL '!Y8/100/3.6*1000000</f>
        <v>123.81017249684409</v>
      </c>
      <c r="O12" s="33"/>
      <c r="P12" s="33"/>
      <c r="R12" s="32"/>
    </row>
    <row r="13" spans="1:18">
      <c r="A13" s="16" t="s">
        <v>480</v>
      </c>
      <c r="B13" s="243">
        <f ca="1">'lokale energieproductie'!N38+'lokale energieproductie'!N31</f>
        <v>23.85</v>
      </c>
      <c r="C13" s="243">
        <f ca="1">'lokale energieproductie'!O38+'lokale energieproductie'!O31</f>
        <v>34.071428571428577</v>
      </c>
      <c r="D13" s="302">
        <f ca="1">('lokale energieproductie'!P31+'lokale energieproductie'!P38)*(-1)</f>
        <v>-68.142857142857153</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5296.4879959478494</v>
      </c>
      <c r="C16" s="21">
        <f t="shared" ca="1" si="1"/>
        <v>34.071428571428577</v>
      </c>
      <c r="D16" s="21">
        <f t="shared" ca="1" si="1"/>
        <v>3862.6354290817185</v>
      </c>
      <c r="E16" s="21">
        <f t="shared" si="1"/>
        <v>88.840464526111973</v>
      </c>
      <c r="F16" s="21">
        <f t="shared" ca="1" si="1"/>
        <v>900.77163449602472</v>
      </c>
      <c r="G16" s="21">
        <f t="shared" si="1"/>
        <v>0</v>
      </c>
      <c r="H16" s="21">
        <f t="shared" si="1"/>
        <v>0</v>
      </c>
      <c r="I16" s="21">
        <f t="shared" si="1"/>
        <v>0</v>
      </c>
      <c r="J16" s="21">
        <f t="shared" si="1"/>
        <v>1.0078767205090176E-2</v>
      </c>
      <c r="K16" s="21">
        <f t="shared" si="1"/>
        <v>0</v>
      </c>
      <c r="L16" s="21">
        <f t="shared" ca="1" si="1"/>
        <v>0</v>
      </c>
      <c r="M16" s="21">
        <f t="shared" si="1"/>
        <v>0</v>
      </c>
      <c r="N16" s="21">
        <f t="shared" ca="1" si="1"/>
        <v>402.30093544998459</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0.20250787334411469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1072.580520252031</v>
      </c>
      <c r="C20" s="23">
        <f t="shared" ref="C20:P20" ca="1" si="2">C16*C18</f>
        <v>8.0969747899159685</v>
      </c>
      <c r="D20" s="23">
        <f t="shared" ca="1" si="2"/>
        <v>780.25235667450715</v>
      </c>
      <c r="E20" s="23">
        <f t="shared" si="2"/>
        <v>20.166785447427419</v>
      </c>
      <c r="F20" s="23">
        <f t="shared" ca="1" si="2"/>
        <v>240.50602641043861</v>
      </c>
      <c r="G20" s="23">
        <f t="shared" si="2"/>
        <v>0</v>
      </c>
      <c r="H20" s="23">
        <f t="shared" si="2"/>
        <v>0</v>
      </c>
      <c r="I20" s="23">
        <f t="shared" si="2"/>
        <v>0</v>
      </c>
      <c r="J20" s="23">
        <f t="shared" si="2"/>
        <v>3.5678835906019224E-3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935.00298129402211</v>
      </c>
      <c r="C26" s="39">
        <f>IF(ISERROR(B26*3.6/1000000/'E Balans VL '!Z12*100),0,B26*3.6/1000000/'E Balans VL '!Z12*100)</f>
        <v>1.9764481860192105E-2</v>
      </c>
      <c r="D26" s="233" t="s">
        <v>732</v>
      </c>
      <c r="F26" s="6"/>
    </row>
    <row r="27" spans="1:18">
      <c r="A27" s="228" t="s">
        <v>52</v>
      </c>
      <c r="B27" s="33">
        <f>IF(ISERROR(TER_horeca_ele_kWh/1000),0,TER_horeca_ele_kWh/1000)</f>
        <v>1012.0872472247901</v>
      </c>
      <c r="C27" s="39">
        <f>IF(ISERROR(B27*3.6/1000000/'E Balans VL '!Z9*100),0,B27*3.6/1000000/'E Balans VL '!Z9*100)</f>
        <v>7.9782460474555159E-2</v>
      </c>
      <c r="D27" s="233" t="s">
        <v>732</v>
      </c>
      <c r="F27" s="6"/>
    </row>
    <row r="28" spans="1:18">
      <c r="A28" s="168" t="s">
        <v>51</v>
      </c>
      <c r="B28" s="33">
        <f>IF(ISERROR(TER_handel_ele_kWh/1000),0,TER_handel_ele_kWh/1000)</f>
        <v>1601.12267377896</v>
      </c>
      <c r="C28" s="39">
        <f>IF(ISERROR(B28*3.6/1000000/'E Balans VL '!Z13*100),0,B28*3.6/1000000/'E Balans VL '!Z13*100)</f>
        <v>4.6471049253587617E-2</v>
      </c>
      <c r="D28" s="233" t="s">
        <v>732</v>
      </c>
      <c r="F28" s="6"/>
    </row>
    <row r="29" spans="1:18">
      <c r="A29" s="228" t="s">
        <v>50</v>
      </c>
      <c r="B29" s="33">
        <f>IF(ISERROR(TER_gezond_ele_kWh/1000),0,TER_gezond_ele_kWh/1000)</f>
        <v>124.11327819154201</v>
      </c>
      <c r="C29" s="39">
        <f>IF(ISERROR(B29*3.6/1000000/'E Balans VL '!Z10*100),0,B29*3.6/1000000/'E Balans VL '!Z10*100)</f>
        <v>1.3071166187392439E-2</v>
      </c>
      <c r="D29" s="233" t="s">
        <v>732</v>
      </c>
      <c r="F29" s="6"/>
    </row>
    <row r="30" spans="1:18">
      <c r="A30" s="228" t="s">
        <v>49</v>
      </c>
      <c r="B30" s="33">
        <f>IF(ISERROR(TER_ander_ele_kWh/1000),0,TER_ander_ele_kWh/1000)</f>
        <v>321.686022774484</v>
      </c>
      <c r="C30" s="39">
        <f>IF(ISERROR(B30*3.6/1000000/'E Balans VL '!Z14*100),0,B30*3.6/1000000/'E Balans VL '!Z14*100)</f>
        <v>2.3727630909702528E-2</v>
      </c>
      <c r="D30" s="233" t="s">
        <v>732</v>
      </c>
      <c r="F30" s="6"/>
    </row>
    <row r="31" spans="1:18">
      <c r="A31" s="228" t="s">
        <v>54</v>
      </c>
      <c r="B31" s="33">
        <f>IF(ISERROR(TER_onderwijs_ele_kWh/1000),0,TER_onderwijs_ele_kWh/1000)</f>
        <v>0</v>
      </c>
      <c r="C31" s="39">
        <f>IF(ISERROR(B31*3.6/1000000/'E Balans VL '!Z11*100),0,B31*3.6/1000000/'E Balans VL '!Z11*100)</f>
        <v>0</v>
      </c>
      <c r="D31" s="233" t="s">
        <v>732</v>
      </c>
    </row>
    <row r="32" spans="1:18">
      <c r="A32" s="228" t="s">
        <v>254</v>
      </c>
      <c r="B32" s="33">
        <f>IF(ISERROR(TER_rest_ele_kWh/1000),0,TER_rest_ele_kWh/1000)</f>
        <v>1278.6257926840501</v>
      </c>
      <c r="C32" s="39">
        <f>IF(ISERROR(B32*3.6/1000000/'E Balans VL '!Z8*100),0,B32*3.6/1000000/'E Balans VL '!Z8*100)</f>
        <v>1.0521393070575129E-2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3</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5583.7643773427108</v>
      </c>
      <c r="C5" s="17">
        <f>IF(ISERROR('Eigen informatie GS &amp; warmtenet'!B59),0,'Eigen informatie GS &amp; warmtenet'!B59)</f>
        <v>0</v>
      </c>
      <c r="D5" s="30">
        <f>SUM(D6:D15)</f>
        <v>5975.8283012605989</v>
      </c>
      <c r="E5" s="17">
        <f>SUM(E6:E15)</f>
        <v>887.82229813494132</v>
      </c>
      <c r="F5" s="17">
        <f>SUM(F6:F15)</f>
        <v>2590.3082953880362</v>
      </c>
      <c r="G5" s="18"/>
      <c r="H5" s="17"/>
      <c r="I5" s="17"/>
      <c r="J5" s="17">
        <f>SUM(J6:J15)</f>
        <v>9.0914466725974048</v>
      </c>
      <c r="K5" s="17"/>
      <c r="L5" s="17"/>
      <c r="M5" s="17"/>
      <c r="N5" s="17">
        <f>SUM(N6:N15)</f>
        <v>409.2810677906017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32.371313558922601</v>
      </c>
      <c r="C8" s="33"/>
      <c r="D8" s="37">
        <f>IF( ISERROR(IND_metaal_Gas_kWH/1000),0,IND_metaal_Gas_kWH/1000)*0.902</f>
        <v>0</v>
      </c>
      <c r="E8" s="33">
        <f>C30*'E Balans VL '!I18/100/3.6*1000000</f>
        <v>0.29762296366233171</v>
      </c>
      <c r="F8" s="33">
        <f>C30*'E Balans VL '!L18/100/3.6*1000000+C30*'E Balans VL '!N18/100/3.6*1000000</f>
        <v>3.0353514617037551</v>
      </c>
      <c r="G8" s="34"/>
      <c r="H8" s="33"/>
      <c r="I8" s="33"/>
      <c r="J8" s="40">
        <f>C30*'E Balans VL '!D18/100/3.6*1000000+C30*'E Balans VL '!E18/100/3.6*1000000</f>
        <v>0</v>
      </c>
      <c r="K8" s="33"/>
      <c r="L8" s="33"/>
      <c r="M8" s="33"/>
      <c r="N8" s="33">
        <f>C30*'E Balans VL '!Y18/100/3.6*1000000</f>
        <v>0.4618302837664533</v>
      </c>
      <c r="O8" s="33"/>
      <c r="P8" s="33"/>
      <c r="R8" s="32"/>
    </row>
    <row r="9" spans="1:18">
      <c r="A9" s="6" t="s">
        <v>32</v>
      </c>
      <c r="B9" s="37">
        <f t="shared" si="0"/>
        <v>2552.8492266571602</v>
      </c>
      <c r="C9" s="33"/>
      <c r="D9" s="37">
        <f>IF( ISERROR(IND_andere_gas_kWh/1000),0,IND_andere_gas_kWh/1000)*0.902</f>
        <v>488.40159276639974</v>
      </c>
      <c r="E9" s="33">
        <f>C31*'E Balans VL '!I19/100/3.6*1000000</f>
        <v>746.24752706447237</v>
      </c>
      <c r="F9" s="33">
        <f>C31*'E Balans VL '!L19/100/3.6*1000000+C31*'E Balans VL '!N19/100/3.6*1000000</f>
        <v>2051.4075865500999</v>
      </c>
      <c r="G9" s="34"/>
      <c r="H9" s="33"/>
      <c r="I9" s="33"/>
      <c r="J9" s="40">
        <f>C31*'E Balans VL '!D19/100/3.6*1000000+C31*'E Balans VL '!E19/100/3.6*1000000</f>
        <v>0</v>
      </c>
      <c r="K9" s="33"/>
      <c r="L9" s="33"/>
      <c r="M9" s="33"/>
      <c r="N9" s="33">
        <f>C31*'E Balans VL '!Y19/100/3.6*1000000</f>
        <v>200.24202613863781</v>
      </c>
      <c r="O9" s="33"/>
      <c r="P9" s="33"/>
      <c r="R9" s="32"/>
    </row>
    <row r="10" spans="1:18">
      <c r="A10" s="6" t="s">
        <v>40</v>
      </c>
      <c r="B10" s="37">
        <f t="shared" si="0"/>
        <v>360.83323340784301</v>
      </c>
      <c r="C10" s="33"/>
      <c r="D10" s="37">
        <f>IF( ISERROR(IND_voed_gas_kWh/1000),0,IND_voed_gas_kWh/1000)*0.902</f>
        <v>0</v>
      </c>
      <c r="E10" s="33">
        <f>C32*'E Balans VL '!I20/100/3.6*1000000</f>
        <v>0.76334830005983978</v>
      </c>
      <c r="F10" s="33">
        <f>C32*'E Balans VL '!L20/100/3.6*1000000+C32*'E Balans VL '!N20/100/3.6*1000000</f>
        <v>22.942145560410129</v>
      </c>
      <c r="G10" s="34"/>
      <c r="H10" s="33"/>
      <c r="I10" s="33"/>
      <c r="J10" s="40">
        <f>C32*'E Balans VL '!D20/100/3.6*1000000+C32*'E Balans VL '!E20/100/3.6*1000000</f>
        <v>0</v>
      </c>
      <c r="K10" s="33"/>
      <c r="L10" s="33"/>
      <c r="M10" s="33"/>
      <c r="N10" s="33">
        <f>C32*'E Balans VL '!Y20/100/3.6*1000000</f>
        <v>24.901053894494833</v>
      </c>
      <c r="O10" s="33"/>
      <c r="P10" s="33"/>
      <c r="R10" s="32"/>
    </row>
    <row r="11" spans="1:18">
      <c r="A11" s="6" t="s">
        <v>39</v>
      </c>
      <c r="B11" s="37">
        <f t="shared" si="0"/>
        <v>98.186870971464501</v>
      </c>
      <c r="C11" s="33"/>
      <c r="D11" s="37">
        <f>IF( ISERROR(IND_textiel_gas_kWh/1000),0,IND_textiel_gas_kWh/1000)*0.902</f>
        <v>0</v>
      </c>
      <c r="E11" s="33">
        <f>C33*'E Balans VL '!I21/100/3.6*1000000</f>
        <v>0.29160654144957393</v>
      </c>
      <c r="F11" s="33">
        <f>C33*'E Balans VL '!L21/100/3.6*1000000+C33*'E Balans VL '!N21/100/3.6*1000000</f>
        <v>9.9195696019234241</v>
      </c>
      <c r="G11" s="34"/>
      <c r="H11" s="33"/>
      <c r="I11" s="33"/>
      <c r="J11" s="40">
        <f>C33*'E Balans VL '!D21/100/3.6*1000000+C33*'E Balans VL '!E21/100/3.6*1000000</f>
        <v>0</v>
      </c>
      <c r="K11" s="33"/>
      <c r="L11" s="33"/>
      <c r="M11" s="33"/>
      <c r="N11" s="33">
        <f>C33*'E Balans VL '!Y21/100/3.6*1000000</f>
        <v>5.4153192831643615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2539.5237327473201</v>
      </c>
      <c r="C15" s="33"/>
      <c r="D15" s="37">
        <f>IF( ISERROR(IND_rest_gas_kWh/1000),0,IND_rest_gas_kWh/1000)*0.902</f>
        <v>5487.4267084941994</v>
      </c>
      <c r="E15" s="33">
        <f>C37*'E Balans VL '!I15/100/3.6*1000000</f>
        <v>140.22219326529716</v>
      </c>
      <c r="F15" s="33">
        <f>C37*'E Balans VL '!L15/100/3.6*1000000+C37*'E Balans VL '!N15/100/3.6*1000000</f>
        <v>503.00364221389913</v>
      </c>
      <c r="G15" s="34"/>
      <c r="H15" s="33"/>
      <c r="I15" s="33"/>
      <c r="J15" s="40">
        <f>C37*'E Balans VL '!D15/100/3.6*1000000+C37*'E Balans VL '!E15/100/3.6*1000000</f>
        <v>9.0914466725974048</v>
      </c>
      <c r="K15" s="33"/>
      <c r="L15" s="33"/>
      <c r="M15" s="33"/>
      <c r="N15" s="33">
        <f>C37*'E Balans VL '!Y15/100/3.6*1000000</f>
        <v>178.26083819053824</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5583.7643773427108</v>
      </c>
      <c r="C18" s="21">
        <f>C5+C16</f>
        <v>0</v>
      </c>
      <c r="D18" s="21">
        <f>MAX((D5+D16),0)</f>
        <v>5975.8283012605989</v>
      </c>
      <c r="E18" s="21">
        <f>MAX((E5+E16),0)</f>
        <v>887.82229813494132</v>
      </c>
      <c r="F18" s="21">
        <f>MAX((F5+F16),0)</f>
        <v>2590.3082953880362</v>
      </c>
      <c r="G18" s="21"/>
      <c r="H18" s="21"/>
      <c r="I18" s="21"/>
      <c r="J18" s="21">
        <f>MAX((J5+J16),0)</f>
        <v>9.0914466725974048</v>
      </c>
      <c r="K18" s="21"/>
      <c r="L18" s="21">
        <f>MAX((L5+L16),0)</f>
        <v>0</v>
      </c>
      <c r="M18" s="21"/>
      <c r="N18" s="21">
        <f>MAX((N5+N16),0)</f>
        <v>409.2810677906017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0.20250787334411469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1130.7562493102971</v>
      </c>
      <c r="C22" s="23">
        <f ca="1">C18*C20</f>
        <v>0</v>
      </c>
      <c r="D22" s="23">
        <f>D18*D20</f>
        <v>1207.1173168546411</v>
      </c>
      <c r="E22" s="23">
        <f>E18*E20</f>
        <v>201.53566167663169</v>
      </c>
      <c r="F22" s="23">
        <f>F18*F20</f>
        <v>691.61231486860572</v>
      </c>
      <c r="G22" s="23"/>
      <c r="H22" s="23"/>
      <c r="I22" s="23"/>
      <c r="J22" s="23">
        <f>J18*J20</f>
        <v>3.2183721220994812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32.371313558922601</v>
      </c>
      <c r="C30" s="39">
        <f>IF(ISERROR(B30*3.6/1000000/'E Balans VL '!Z18*100),0,B30*3.6/1000000/'E Balans VL '!Z18*100)</f>
        <v>1.834565344861069E-3</v>
      </c>
      <c r="D30" s="233" t="s">
        <v>732</v>
      </c>
    </row>
    <row r="31" spans="1:18">
      <c r="A31" s="6" t="s">
        <v>32</v>
      </c>
      <c r="B31" s="37">
        <f>IF( ISERROR(IND_ander_ele_kWh/1000),0,IND_ander_ele_kWh/1000)</f>
        <v>2552.8492266571602</v>
      </c>
      <c r="C31" s="39">
        <f>IF(ISERROR(B31*3.6/1000000/'E Balans VL '!Z19*100),0,B31*3.6/1000000/'E Balans VL '!Z19*100)</f>
        <v>0.11578661104199878</v>
      </c>
      <c r="D31" s="233" t="s">
        <v>732</v>
      </c>
    </row>
    <row r="32" spans="1:18">
      <c r="A32" s="168" t="s">
        <v>40</v>
      </c>
      <c r="B32" s="37">
        <f>IF( ISERROR(IND_voed_ele_kWh/1000),0,IND_voed_ele_kWh/1000)</f>
        <v>360.83323340784301</v>
      </c>
      <c r="C32" s="39">
        <f>IF(ISERROR(B32*3.6/1000000/'E Balans VL '!Z20*100),0,B32*3.6/1000000/'E Balans VL '!Z20*100)</f>
        <v>1.1162209953875154E-2</v>
      </c>
      <c r="D32" s="233" t="s">
        <v>732</v>
      </c>
    </row>
    <row r="33" spans="1:5">
      <c r="A33" s="168" t="s">
        <v>39</v>
      </c>
      <c r="B33" s="37">
        <f>IF( ISERROR(IND_textiel_ele_kWh/1000),0,IND_textiel_ele_kWh/1000)</f>
        <v>98.186870971464501</v>
      </c>
      <c r="C33" s="39">
        <f>IF(ISERROR(B33*3.6/1000000/'E Balans VL '!Z21*100),0,B33*3.6/1000000/'E Balans VL '!Z21*100)</f>
        <v>1.2802476572033752E-2</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2539.5237327473201</v>
      </c>
      <c r="C37" s="39">
        <f>IF(ISERROR(B37*3.6/1000000/'E Balans VL '!Z15*100),0,B37*3.6/1000000/'E Balans VL '!Z15*100)</f>
        <v>2.0128844413782238E-2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587.01141823720309</v>
      </c>
      <c r="C5" s="17">
        <f>'Eigen informatie GS &amp; warmtenet'!B60</f>
        <v>0</v>
      </c>
      <c r="D5" s="30">
        <f>IF(ISERROR(SUM(LB_lb_gas_kWh,LB_rest_gas_kWh)/1000),0,SUM(LB_lb_gas_kWh,LB_rest_gas_kWh)/1000)*0.902</f>
        <v>45.602016696735696</v>
      </c>
      <c r="E5" s="17">
        <f>B17*'E Balans VL '!I25/3.6*1000000/100</f>
        <v>17.254058521806495</v>
      </c>
      <c r="F5" s="17">
        <f>B17*('E Balans VL '!L25/3.6*1000000+'E Balans VL '!N25/3.6*1000000)/100</f>
        <v>2445.4578479440779</v>
      </c>
      <c r="G5" s="18"/>
      <c r="H5" s="17"/>
      <c r="I5" s="17"/>
      <c r="J5" s="17">
        <f>('E Balans VL '!D25+'E Balans VL '!E25)/3.6*1000000*landbouw!B17/100</f>
        <v>85.045348288062158</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587.01141823720309</v>
      </c>
      <c r="C8" s="21">
        <f>C5+C6</f>
        <v>0</v>
      </c>
      <c r="D8" s="21">
        <f>MAX((D5+D6),0)</f>
        <v>45.602016696735696</v>
      </c>
      <c r="E8" s="21">
        <f>MAX((E5+E6),0)</f>
        <v>17.254058521806495</v>
      </c>
      <c r="F8" s="21">
        <f>MAX((F5+F6),0)</f>
        <v>2445.4578479440779</v>
      </c>
      <c r="G8" s="21"/>
      <c r="H8" s="21"/>
      <c r="I8" s="21"/>
      <c r="J8" s="21">
        <f>MAX((J5+J6),0)</f>
        <v>85.045348288062158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0.20250787334411469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118.87443393592865</v>
      </c>
      <c r="C12" s="23">
        <f ca="1">C8*C10</f>
        <v>0</v>
      </c>
      <c r="D12" s="23">
        <f>D8*D10</f>
        <v>9.2116073727406107</v>
      </c>
      <c r="E12" s="23">
        <f>E8*E10</f>
        <v>3.9166712844500746</v>
      </c>
      <c r="F12" s="23">
        <f>F8*F10</f>
        <v>652.93724540106882</v>
      </c>
      <c r="G12" s="23"/>
      <c r="H12" s="23"/>
      <c r="I12" s="23"/>
      <c r="J12" s="23">
        <f>J8*J10</f>
        <v>30.106053293974004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8.3298761940017951E-2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116.35240177560655</v>
      </c>
      <c r="C26" s="243">
        <f>B26*'GWP N2O_CH4'!B5</f>
        <v>2443.4004372877375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40.286680970290021</v>
      </c>
      <c r="C27" s="243">
        <f>B27*'GWP N2O_CH4'!B5</f>
        <v>846.0203003760904</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1.7208021041148998</v>
      </c>
      <c r="C28" s="243">
        <f>B28*'GWP N2O_CH4'!B4</f>
        <v>533.44865227561888</v>
      </c>
      <c r="D28" s="50"/>
    </row>
    <row r="29" spans="1:4">
      <c r="A29" s="41" t="s">
        <v>271</v>
      </c>
      <c r="B29" s="243">
        <f>B34*'ha_N2O bodem landbouw'!B4</f>
        <v>10.220392771211339</v>
      </c>
      <c r="C29" s="243">
        <f>B29*'GWP N2O_CH4'!B4</f>
        <v>3168.3217590755148</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2.3322584093500567E-3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9.5527312446338112E-5</v>
      </c>
      <c r="C5" s="431" t="s">
        <v>210</v>
      </c>
      <c r="D5" s="416">
        <f>SUM(D6:D11)</f>
        <v>1.6609930147622214E-4</v>
      </c>
      <c r="E5" s="416">
        <f>SUM(E6:E11)</f>
        <v>2.8952877285082636E-4</v>
      </c>
      <c r="F5" s="429" t="s">
        <v>210</v>
      </c>
      <c r="G5" s="416">
        <f>SUM(G6:G11)</f>
        <v>0.13362474475237318</v>
      </c>
      <c r="H5" s="416">
        <f>SUM(H6:H11)</f>
        <v>2.6715120669715167E-2</v>
      </c>
      <c r="I5" s="431" t="s">
        <v>210</v>
      </c>
      <c r="J5" s="431" t="s">
        <v>210</v>
      </c>
      <c r="K5" s="431" t="s">
        <v>210</v>
      </c>
      <c r="L5" s="431" t="s">
        <v>210</v>
      </c>
      <c r="M5" s="416">
        <f>SUM(M6:M11)</f>
        <v>8.5935819138906328E-3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7.7083062333272516E-5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1.2959018278523124E-4</v>
      </c>
      <c r="E6" s="859">
        <f>vkm_GW_PW*SUMIFS(TableVerdeelsleutelVkm[LPG],TableVerdeelsleutelVkm[Voertuigtype],"Lichte voertuigen")*SUMIFS(TableECFTransport[EnergieConsumptieFactor (PJ per km)],TableECFTransport[Index],CONCATENATE($A6,"_LPG_LPG"))</f>
        <v>2.280150367837414E-4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6.7651401230611571E-2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2.0937056829219935E-2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4.5689671283043387E-3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1.4445419435493353E-6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4.6399291916085814E-2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7.5703167098278005E-7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2.7109038653662884E-3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1.6936576067557868E-5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3.6509118690990886E-5</v>
      </c>
      <c r="E8" s="419">
        <f>vkm_NGW_PW*SUMIFS(TableVerdeelsleutelVkm[LPG],TableVerdeelsleutelVkm[Voertuigtype],"Lichte voertuigen")*SUMIFS(TableECFTransport[EnergieConsumptieFactor (PJ per km)],TableECFTransport[Index],CONCATENATE($A8,"_LPG_LPG"))</f>
        <v>6.1513736067084974E-5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1.6972212048350515E-2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5.7772668741093861E-3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1.1616971030925744E-3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6.3132101958389386E-8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2.6018395573252865E-3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3.9934714863907261E-8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1.5201381712743058E-4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26.535364568427251</v>
      </c>
      <c r="C14" s="21"/>
      <c r="D14" s="21">
        <f t="shared" ref="D14:M14" si="0">((D5)*10^9/3600)+D12</f>
        <v>46.138694854506149</v>
      </c>
      <c r="E14" s="21">
        <f t="shared" si="0"/>
        <v>80.424659125229553</v>
      </c>
      <c r="F14" s="21"/>
      <c r="G14" s="21">
        <f t="shared" si="0"/>
        <v>37117.984653436994</v>
      </c>
      <c r="H14" s="21">
        <f t="shared" si="0"/>
        <v>7420.8668526986576</v>
      </c>
      <c r="I14" s="21"/>
      <c r="J14" s="21"/>
      <c r="K14" s="21"/>
      <c r="L14" s="21"/>
      <c r="M14" s="21">
        <f t="shared" si="0"/>
        <v>2387.1060871918421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0.20250787334411469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5.3736202471629744</v>
      </c>
      <c r="C18" s="23"/>
      <c r="D18" s="23">
        <f t="shared" ref="D18:M18" si="1">D14*D16</f>
        <v>9.3200163606102429</v>
      </c>
      <c r="E18" s="23">
        <f t="shared" si="1"/>
        <v>18.256397621427109</v>
      </c>
      <c r="F18" s="23"/>
      <c r="G18" s="23">
        <f t="shared" si="1"/>
        <v>9910.5019024676785</v>
      </c>
      <c r="H18" s="23">
        <f t="shared" si="1"/>
        <v>1847.7958463219657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7.9597905485323352E-6</v>
      </c>
      <c r="C50" s="313">
        <f t="shared" ref="C50:P50" si="2">SUM(C51:C52)</f>
        <v>0</v>
      </c>
      <c r="D50" s="313">
        <f t="shared" si="2"/>
        <v>0</v>
      </c>
      <c r="E50" s="313">
        <f t="shared" si="2"/>
        <v>0</v>
      </c>
      <c r="F50" s="313">
        <f t="shared" si="2"/>
        <v>0</v>
      </c>
      <c r="G50" s="313">
        <f t="shared" si="2"/>
        <v>7.4774331398016645E-4</v>
      </c>
      <c r="H50" s="313">
        <f t="shared" si="2"/>
        <v>0</v>
      </c>
      <c r="I50" s="313">
        <f t="shared" si="2"/>
        <v>0</v>
      </c>
      <c r="J50" s="313">
        <f t="shared" si="2"/>
        <v>0</v>
      </c>
      <c r="K50" s="313">
        <f t="shared" si="2"/>
        <v>0</v>
      </c>
      <c r="L50" s="313">
        <f t="shared" si="2"/>
        <v>0</v>
      </c>
      <c r="M50" s="313">
        <f t="shared" si="2"/>
        <v>4.306029234083425E-5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7.9597905485323352E-6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7.4774331398016645E-4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4.306029234083425E-5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2.2110529301478707</v>
      </c>
      <c r="C54" s="21">
        <f t="shared" ref="C54:P54" si="3">(C50)*10^9/3600</f>
        <v>0</v>
      </c>
      <c r="D54" s="21">
        <f t="shared" si="3"/>
        <v>0</v>
      </c>
      <c r="E54" s="21">
        <f t="shared" si="3"/>
        <v>0</v>
      </c>
      <c r="F54" s="21">
        <f t="shared" si="3"/>
        <v>0</v>
      </c>
      <c r="G54" s="21">
        <f t="shared" si="3"/>
        <v>207.70647610560178</v>
      </c>
      <c r="H54" s="21">
        <f t="shared" si="3"/>
        <v>0</v>
      </c>
      <c r="I54" s="21">
        <f t="shared" si="3"/>
        <v>0</v>
      </c>
      <c r="J54" s="21">
        <f t="shared" si="3"/>
        <v>0</v>
      </c>
      <c r="K54" s="21">
        <f t="shared" si="3"/>
        <v>0</v>
      </c>
      <c r="L54" s="21">
        <f t="shared" si="3"/>
        <v>0</v>
      </c>
      <c r="M54" s="21">
        <f t="shared" si="3"/>
        <v>11.961192316898401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0.20250787334411469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0.44775562673551866</v>
      </c>
      <c r="C58" s="23">
        <f t="shared" ref="C58:P58" ca="1" si="4">C54*C56</f>
        <v>0</v>
      </c>
      <c r="D58" s="23">
        <f t="shared" si="4"/>
        <v>0</v>
      </c>
      <c r="E58" s="23">
        <f t="shared" si="4"/>
        <v>0</v>
      </c>
      <c r="F58" s="23">
        <f t="shared" si="4"/>
        <v>0</v>
      </c>
      <c r="G58" s="23">
        <f t="shared" si="4"/>
        <v>55.457629120195676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2197.7490642706971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23.85</v>
      </c>
      <c r="C8" s="538">
        <f>B48</f>
        <v>28.058823529411768</v>
      </c>
      <c r="D8" s="1004"/>
      <c r="E8" s="1004">
        <f>E48</f>
        <v>0</v>
      </c>
      <c r="F8" s="1005"/>
      <c r="G8" s="539"/>
      <c r="H8" s="1004">
        <f>I48</f>
        <v>0</v>
      </c>
      <c r="I8" s="1004">
        <f>G48+F48</f>
        <v>0</v>
      </c>
      <c r="J8" s="1004">
        <f>H48+D48+C48</f>
        <v>0</v>
      </c>
      <c r="K8" s="1004"/>
      <c r="L8" s="1004"/>
      <c r="M8" s="1004"/>
      <c r="N8" s="540"/>
      <c r="O8" s="541">
        <f>C8*$C$12+D8*$D$12+E8*$E$12+F8*$F$12+G8*$G$12+H8*$H$12+I8*$I$12+J8*$J$12</f>
        <v>5.6678823529411773</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2221.599064270697</v>
      </c>
      <c r="C10" s="551">
        <f t="shared" ref="C10:L10" si="0">SUM(C8:C9)</f>
        <v>28.058823529411768</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5.6678823529411773</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34.071428571428577</v>
      </c>
      <c r="C17" s="563">
        <f>B49</f>
        <v>40.084033613445385</v>
      </c>
      <c r="D17" s="564"/>
      <c r="E17" s="564">
        <f>E49</f>
        <v>0</v>
      </c>
      <c r="F17" s="1010"/>
      <c r="G17" s="565"/>
      <c r="H17" s="563">
        <f>I49</f>
        <v>0</v>
      </c>
      <c r="I17" s="564">
        <f>G49+F49</f>
        <v>0</v>
      </c>
      <c r="J17" s="564">
        <f>H49+D49+C49</f>
        <v>0</v>
      </c>
      <c r="K17" s="564"/>
      <c r="L17" s="564"/>
      <c r="M17" s="564"/>
      <c r="N17" s="1011"/>
      <c r="O17" s="566">
        <f>C17*$C$22+E17*$E$22+H17*$H$22+I17*$I$22+J17*$J$22+D17*$D$22+F17*$F$22+G17*$G$22+K17*$K$22+L17*$L$22</f>
        <v>8.0969747899159685</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34.071428571428577</v>
      </c>
      <c r="C20" s="550">
        <f>SUM(C17:C19)</f>
        <v>40.084033613445385</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8.0969747899159685</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63.75">
      <c r="A28" s="573"/>
      <c r="B28" s="764">
        <v>45057</v>
      </c>
      <c r="C28" s="764">
        <v>9750</v>
      </c>
      <c r="D28" s="621" t="s">
        <v>902</v>
      </c>
      <c r="E28" s="620" t="s">
        <v>903</v>
      </c>
      <c r="F28" s="620" t="s">
        <v>904</v>
      </c>
      <c r="G28" s="620" t="s">
        <v>905</v>
      </c>
      <c r="H28" s="620" t="s">
        <v>906</v>
      </c>
      <c r="I28" s="620" t="s">
        <v>903</v>
      </c>
      <c r="J28" s="763">
        <v>39036</v>
      </c>
      <c r="K28" s="763">
        <v>40299</v>
      </c>
      <c r="L28" s="620" t="s">
        <v>907</v>
      </c>
      <c r="M28" s="620">
        <v>5.3</v>
      </c>
      <c r="N28" s="620">
        <v>23.85</v>
      </c>
      <c r="O28" s="620">
        <v>34.071428571428577</v>
      </c>
      <c r="P28" s="620">
        <v>68.142857142857153</v>
      </c>
      <c r="Q28" s="620">
        <v>0</v>
      </c>
      <c r="R28" s="620">
        <v>0</v>
      </c>
      <c r="S28" s="620">
        <v>0</v>
      </c>
      <c r="T28" s="620">
        <v>0</v>
      </c>
      <c r="U28" s="620">
        <v>0</v>
      </c>
      <c r="V28" s="620">
        <v>0</v>
      </c>
      <c r="W28" s="620">
        <v>0</v>
      </c>
      <c r="X28" s="620">
        <v>1600</v>
      </c>
      <c r="Y28" s="620" t="s">
        <v>49</v>
      </c>
      <c r="Z28" s="622" t="s">
        <v>155</v>
      </c>
    </row>
    <row r="29" spans="1:26" s="558" customFormat="1">
      <c r="A29" s="576" t="s">
        <v>274</v>
      </c>
      <c r="B29" s="577"/>
      <c r="C29" s="577"/>
      <c r="D29" s="577"/>
      <c r="E29" s="577"/>
      <c r="F29" s="577"/>
      <c r="G29" s="577"/>
      <c r="H29" s="577"/>
      <c r="I29" s="577"/>
      <c r="J29" s="577"/>
      <c r="K29" s="577"/>
      <c r="L29" s="578"/>
      <c r="M29" s="578">
        <f>SUM(M28:M28)</f>
        <v>5.3</v>
      </c>
      <c r="N29" s="578">
        <f>SUM(N28:N28)</f>
        <v>23.85</v>
      </c>
      <c r="O29" s="578">
        <f>SUM(O28:O28)</f>
        <v>34.071428571428577</v>
      </c>
      <c r="P29" s="578">
        <f>SUM(P28:P28)</f>
        <v>68.142857142857153</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5.3</v>
      </c>
      <c r="N31" s="578">
        <f ca="1">SUMIF($Z$28:AD28,"tertiair",N28:N28)</f>
        <v>23.85</v>
      </c>
      <c r="O31" s="578">
        <f ca="1">SUMIF($Z$28:AE28,"tertiair",O28:O28)</f>
        <v>34.071428571428577</v>
      </c>
      <c r="P31" s="578">
        <f ca="1">SUMIF($Z$28:AF28,"tertiair",P28:P28)</f>
        <v>68.142857142857153</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28.058823529411768</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40.084033613445385</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2021-06-29T15:45:04Z</dcterms:modified>
</cp:coreProperties>
</file>