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<sst xmlns="http://schemas.openxmlformats.org/spreadsheetml/2006/main" count="2476" uniqueCount="902">
  <si>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</si>
  <si>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</si>
  <si>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</si>
  <si>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</si>
  <si>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</si>
  <si>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</si>
  <si>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</si>
  <si>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</si>
  <si>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</si>
  <si>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</si>
  <si>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</si>
  <si>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</si>
  <si>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</si>
  <si>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</si>
  <si>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</si>
  <si>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</si>
  <si>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</si>
  <si>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</si>
  <si>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</si>
  <si>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</si>
  <si>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</si>
  <si>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</si>
  <si>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</si>
  <si>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</si>
  <si>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</si>
  <si>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</si>
  <si>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</si>
  <si>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</si>
  <si>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</si>
  <si>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</si>
  <si>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</si>
  <si>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</si>
  <si>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</si>
  <si>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</si>
  <si>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</si>
  <si>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</si>
  <si>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</si>
  <si>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</si>
  <si>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</si>
  <si>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</si>
  <si>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</si>
  <si>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</si>
  <si>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</si>
  <si>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</si>
  <si>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</si>
  <si>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</si>
  <si>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</si>
  <si>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</si>
  <si>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</si>
  <si>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</si>
  <si>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</si>
  <si>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</si>
  <si>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</si>
  <si>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</si>
  <si>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</si>
  <si>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</si>
  <si>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</si>
  <si>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</si>
  <si>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</si>
  <si>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</si>
  <si>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</si>
  <si>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</si>
  <si>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</si>
  <si>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</si>
  <si>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</si>
  <si>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</si>
  <si>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</si>
  <si>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</si>
  <si>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</si>
  <si>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</si>
  <si>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</si>
  <si>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</si>
  <si>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</si>
  <si>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</si>
  <si>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</si>
  <si>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</si>
  <si>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</si>
  <si>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</si>
  <si>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</si>
  <si>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</si>
  <si>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</si>
  <si>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</si>
  <si>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</si>
  <si>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</si>
  <si>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</si>
  <si>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</si>
  <si>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</si>
  <si>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</si>
  <si>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</si>
  <si>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</si>
  <si>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</si>
  <si>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</si>
  <si>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</si>
  <si>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</si>
  <si>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</si>
  <si>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</si>
  <si>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</si>
  <si>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</si>
  <si>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</si>
  <si>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</si>
  <si>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</si>
  <si>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</si>
  <si>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</si>
  <si>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</si>
  <si>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</si>
  <si>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</si>
  <si>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</si>
  <si>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</si>
  <si>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</si>
  <si>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</si>
  <si>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</si>
  <si>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</si>
  <si>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</si>
  <si>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</si>
  <si>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</si>
  <si>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</si>
  <si>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</si>
  <si>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</si>
  <si>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</si>
  <si>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</si>
  <si>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</si>
  <si>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</si>
  <si>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</si>
  <si>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</si>
  <si>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</si>
  <si>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</si>
  <si>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</si>
  <si>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</si>
  <si>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</si>
  <si>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</si>
  <si>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</si>
  <si>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</si>
  <si>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</si>
  <si>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</si>
  <si>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</si>
  <si>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</si>
  <si>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</si>
  <si>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</si>
  <si>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</si>
  <si>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</si>
  <si>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</si>
  <si>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</si>
  <si>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</si>
  <si>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</si>
  <si>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</si>
  <si>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</si>
  <si>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</si>
  <si>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</si>
  <si>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</si>
  <si>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</si>
  <si>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</si>
  <si>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</si>
  <si>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</si>
  <si>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</si>
  <si>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</si>
  <si>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</si>
  <si>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</si>
  <si>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</si>
  <si>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</si>
  <si>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</si>
  <si>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</si>
  <si>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</si>
  <si>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</si>
  <si>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</si>
  <si>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</si>
  <si>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</si>
  <si>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</si>
  <si>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</si>
  <si>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</si>
  <si>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</si>
  <si>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</si>
  <si>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</si>
  <si>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</si>
  <si>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</si>
  <si>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</si>
  <si>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</si>
  <si>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</si>
  <si>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</si>
  <si>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</si>
  <si>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</si>
  <si>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</si>
  <si>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</si>
  <si>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</si>
  <si>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</si>
  <si>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</si>
  <si>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</si>
  <si>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</si>
  <si>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</si>
  <si>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</si>
  <si>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</si>
  <si>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</si>
  <si>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</si>
  <si>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</si>
  <si>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</si>
  <si>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</si>
  <si>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</si>
  <si>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</si>
  <si>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</si>
  <si>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</si>
  <si>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</si>
  <si>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</si>
  <si>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</si>
  <si>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</si>
  <si>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</si>
  <si>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</si>
  <si>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</si>
  <si>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</si>
  <si>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</si>
  <si>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</si>
  <si>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</si>
  <si>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</si>
  <si>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</si>
  <si>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</si>
  <si>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</si>
  <si>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</si>
  <si>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</si>
  <si>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</si>
  <si>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</si>
  <si>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</si>
  <si>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</si>
  <si>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</si>
  <si>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</si>
  <si>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</si>
  <si>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</si>
  <si>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</si>
  <si>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</si>
  <si>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</si>
  <si>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</si>
  <si>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</si>
  <si>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</si>
  <si>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</si>
  <si>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</si>
  <si>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</si>
  <si>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</si>
  <si>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</si>
  <si>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</si>
  <si>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</si>
  <si>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</si>
  <si>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</si>
  <si>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</si>
  <si>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</si>
  <si>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</si>
  <si>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</si>
  <si>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</si>
  <si>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</si>
  <si>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</si>
  <si>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</si>
  <si>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</si>
  <si>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</si>
  <si>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</si>
  <si>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</si>
  <si>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</si>
  <si>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</si>
  <si>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</si>
  <si>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</si>
  <si>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</si>
  <si>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</si>
  <si>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</si>
  <si>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</si>
  <si>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</si>
  <si>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</si>
  <si>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</si>
  <si>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</si>
  <si>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</si>
  <si>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</si>
  <si>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</si>
  <si>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</si>
  <si>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</si>
  <si>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</si>
  <si>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</si>
  <si>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</si>
  <si>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</si>
  <si>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</si>
  <si>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</si>
  <si>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</si>
  <si>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</si>
  <si>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</si>
  <si>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</si>
  <si>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</si>
  <si>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</si>
  <si>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</si>
  <si>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</si>
  <si>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</si>
  <si>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</si>
  <si>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</si>
  <si>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</si>
  <si>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</si>
  <si>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</si>
  <si>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</si>
  <si>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</si>
  <si>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</si>
  <si>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</si>
  <si>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</si>
  <si>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</si>
  <si>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</si>
  <si>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</si>
  <si>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</si>
  <si>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</si>
  <si>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</si>
  <si>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</si>
  <si>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</si>
  <si>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</si>
  <si>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</si>
  <si>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</si>
  <si>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</si>
  <si>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</si>
  <si>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</si>
  <si>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</si>
  <si>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</si>
  <si>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</si>
  <si>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</si>
  <si>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</si>
  <si>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</si>
  <si>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</si>
  <si>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</si>
  <si>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</si>
  <si>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</si>
  <si>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</si>
  <si>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</si>
  <si>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</si>
  <si>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</si>
  <si>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</si>
  <si>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</si>
  <si>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</si>
  <si>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</si>
  <si>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</si>
  <si>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</si>
  <si>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</si>
  <si>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</si>
  <si>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</si>
  <si>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</si>
  <si>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</si>
  <si>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</si>
  <si>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</si>
  <si>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</si>
  <si>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</si>
  <si>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</si>
  <si>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</si>
  <si>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</si>
  <si>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</si>
  <si>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</si>
  <si>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</si>
  <si>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</si>
  <si>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</si>
  <si>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</si>
  <si>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</si>
  <si>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</si>
  <si>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</si>
  <si>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</si>
  <si>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</si>
  <si>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</si>
  <si>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</si>
  <si>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</si>
  <si>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</si>
  <si>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</si>
  <si>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</si>
  <si>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</si>
  <si>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</si>
  <si>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</si>
  <si>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</si>
  <si>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</si>
  <si>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</si>
  <si>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</si>
  <si>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</si>
  <si>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</si>
  <si>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</si>
  <si>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</si>
  <si>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</si>
  <si>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</si>
  <si>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</si>
  <si>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</si>
  <si>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</si>
  <si>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</si>
  <si>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</si>
  <si>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</si>
  <si>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</si>
  <si>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</si>
  <si>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</si>
  <si>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</si>
  <si>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</si>
  <si>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</si>
  <si>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</si>
  <si>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</si>
  <si>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</si>
  <si>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</si>
  <si>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</si>
  <si>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</si>
  <si>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</si>
  <si>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</si>
  <si>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</si>
  <si>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</si>
  <si>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</si>
  <si>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</si>
  <si>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</si>
  <si>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</si>
  <si>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</si>
  <si>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</si>
  <si>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</si>
  <si>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</si>
  <si>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</si>
  <si>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</si>
  <si>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</si>
  <si>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</si>
  <si>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</si>
  <si>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</si>
  <si>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</si>
  <si>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</si>
  <si>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</si>
  <si>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</si>
  <si>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</si>
  <si>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</si>
  <si>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</si>
  <si>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</si>
  <si>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</si>
  <si>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</si>
  <si>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</si>
  <si>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</si>
  <si>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</si>
  <si>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</si>
  <si>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</si>
  <si>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</si>
  <si>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</si>
  <si>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</si>
  <si>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</si>
  <si>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</si>
  <si>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</si>
  <si>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</si>
  <si>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</si>
  <si>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</si>
  <si>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</si>
  <si>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</si>
  <si>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</si>
  <si>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</si>
  <si>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</si>
  <si>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</si>
  <si>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</si>
  <si>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</si>
  <si>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</si>
  <si>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</si>
  <si>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</si>
  <si>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</si>
  <si>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</si>
  <si>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</si>
  <si>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</si>
  <si>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</si>
  <si>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</si>
  <si>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</si>
  <si>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</si>
  <si>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</si>
  <si>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</si>
  <si>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</si>
  <si>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</si>
  <si>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</si>
  <si>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</si>
  <si>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</si>
  <si>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</si>
  <si>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</si>
  <si>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</si>
  <si>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</si>
  <si>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</si>
  <si>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</si>
  <si>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</si>
  <si>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</si>
  <si>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</si>
  <si>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</si>
  <si>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</si>
  <si>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</si>
  <si>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</si>
  <si>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</si>
  <si>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</si>
  <si>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</si>
  <si>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</si>
  <si>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</si>
  <si>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</si>
  <si>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</si>
  <si>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</si>
  <si>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</si>
  <si>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</si>
  <si>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</si>
  <si>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</si>
  <si>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</si>
  <si>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</si>
  <si>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</si>
  <si>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</si>
  <si>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</si>
  <si>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</si>
  <si>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</si>
  <si>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</si>
  <si>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</si>
  <si>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</si>
  <si>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</si>
  <si>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</si>
  <si>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</si>
  <si>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</si>
  <si>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</si>
  <si>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</si>
  <si>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</si>
  <si>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</si>
  <si>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</si>
  <si>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</si>
  <si>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</si>
  <si>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</si>
  <si>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</si>
  <si>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</si>
  <si>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</si>
  <si>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</si>
  <si>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</si>
  <si>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</si>
  <si>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</si>
  <si>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</si>
  <si>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</si>
  <si>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</si>
  <si>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</si>
  <si>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</si>
  <si>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</si>
  <si>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</si>
  <si>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</si>
  <si>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</si>
  <si>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</si>
  <si>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</si>
  <si>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</si>
  <si>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</si>
  <si>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</si>
  <si>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</si>
  <si>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</si>
  <si>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</si>
  <si>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</si>
  <si>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</si>
  <si>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</si>
  <si>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</si>
  <si>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</si>
  <si>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</si>
  <si>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</si>
  <si>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</si>
  <si>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</si>
  <si>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</si>
  <si>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</si>
  <si>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</si>
  <si>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</si>
  <si>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</si>
  <si>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</si>
  <si>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</si>
  <si>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</si>
  <si>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</si>
  <si>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</si>
  <si>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</si>
  <si>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</si>
  <si>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</si>
  <si>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</si>
  <si>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</si>
  <si>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</si>
  <si>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</si>
  <si>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</si>
  <si>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</si>
  <si>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</si>
  <si>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</si>
  <si>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</si>
  <si>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</si>
  <si>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</si>
  <si>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</si>
  <si>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</si>
  <si>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</si>
  <si>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</si>
  <si>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</si>
  <si>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</si>
  <si>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</si>
  <si>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</si>
  <si>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</si>
  <si>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</si>
  <si>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</si>
  <si>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</si>
  <si>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</si>
  <si>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</si>
  <si>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</si>
  <si>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</si>
  <si>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</si>
  <si>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</si>
  <si>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</si>
  <si>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</si>
  <si>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</si>
  <si>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</si>
  <si>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</si>
  <si>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</si>
  <si>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</si>
  <si>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</si>
  <si>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</si>
  <si>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</si>
  <si>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</si>
  <si>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</si>
  <si>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</si>
  <si>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</si>
  <si>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</si>
  <si>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</si>
  <si>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</si>
  <si>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</si>
  <si>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</si>
  <si>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</si>
  <si>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</si>
  <si>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</si>
  <si>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</si>
  <si>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</si>
  <si>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</si>
  <si>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</si>
  <si>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</si>
  <si>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</si>
  <si>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</si>
  <si>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</si>
  <si>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</si>
  <si>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</si>
  <si>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</si>
  <si>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</si>
  <si>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</si>
  <si>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</si>
  <si>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</si>
  <si>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</si>
  <si>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</si>
  <si>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</si>
  <si>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</si>
  <si>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</si>
  <si>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</si>
  <si>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</si>
  <si>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</si>
  <si>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</si>
  <si>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</si>
  <si>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</si>
  <si>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</si>
  <si>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</si>
  <si>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</si>
  <si>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</si>
  <si>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</si>
  <si>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</si>
  <si>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</si>
  <si>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</si>
  <si>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</si>
  <si>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</si>
  <si>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</si>
  <si>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</si>
  <si>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</si>
  <si>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</si>
  <si>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</si>
  <si>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</si>
  <si>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</si>
  <si>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</si>
  <si>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</si>
  <si>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</si>
  <si>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</si>
  <si>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</si>
  <si>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</si>
  <si>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</si>
  <si>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</si>
  <si>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</si>
  <si>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</si>
  <si>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</si>
  <si>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</si>
  <si>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</si>
  <si>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</si>
  <si>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</si>
  <si>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</si>
  <si>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</si>
  <si>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</si>
  <si>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</si>
  <si>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</si>
  <si>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</si>
  <si>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</si>
  <si>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</si>
  <si>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</si>
  <si>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</si>
  <si>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</si>
  <si>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</si>
  <si>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</si>
  <si>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</si>
  <si>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</si>
  <si>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</si>
  <si>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</si>
  <si>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</si>
  <si>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</si>
  <si>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</si>
  <si>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</si>
  <si>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</si>
  <si>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</si>
  <si>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</si>
  <si>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</si>
  <si>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</si>
  <si>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</si>
  <si>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</si>
  <si>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</si>
  <si>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</si>
  <si>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</si>
  <si>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</si>
  <si>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</si>
  <si>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</si>
  <si>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</si>
  <si>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</si>
  <si>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</si>
  <si>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</si>
  <si>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</si>
  <si>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</si>
  <si>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</si>
  <si>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</si>
  <si>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</si>
  <si>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</si>
  <si>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</si>
  <si>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</si>
  <si>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</si>
  <si>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</si>
  <si>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</si>
  <si>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</si>
  <si>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</si>
  <si>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</si>
  <si>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</si>
  <si>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</si>
  <si>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</si>
  <si>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</si>
  <si>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</si>
  <si>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</si>
  <si>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</si>
  <si>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</si>
  <si>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</si>
  <si>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</si>
  <si>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</si>
  <si>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</si>
  <si>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</si>
  <si>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</si>
  <si>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</si>
  <si>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</si>
  <si>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</si>
  <si>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</si>
  <si>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</si>
  <si>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</si>
  <si>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</si>
  <si>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</si>
  <si>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</si>
  <si>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</si>
  <si>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</si>
  <si>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</si>
  <si>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</si>
  <si>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</si>
  <si>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</si>
  <si>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</si>
  <si>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</si>
  <si>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</si>
  <si>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</si>
  <si>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</si>
  <si>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</si>
  <si>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</si>
  <si>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</si>
  <si>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</si>
  <si>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</si>
  <si>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</si>
  <si>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</si>
  <si>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</si>
  <si>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</si>
  <si>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</si>
  <si>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</si>
  <si>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</si>
  <si>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</si>
  <si>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</si>
  <si>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</si>
  <si>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</si>
  <si>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</si>
  <si>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</si>
  <si>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</si>
  <si>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</si>
  <si>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</si>
  <si>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</si>
  <si>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</si>
  <si>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</si>
  <si>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</si>
  <si>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</si>
  <si>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</si>
  <si>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</si>
  <si>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</si>
  <si>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</si>
  <si>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</si>
  <si>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</si>
  <si>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</si>
  <si>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</si>
  <si>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</si>
  <si>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</si>
  <si>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</si>
  <si>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</si>
  <si>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</si>
  <si>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</si>
  <si>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</si>
  <si>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</si>
  <si>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</si>
  <si>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</si>
  <si>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</si>
  <si>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</si>
  <si>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</si>
  <si>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</si>
  <si>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</si>
  <si>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</si>
  <si>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</si>
  <si>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</si>
  <si>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</si>
  <si>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</si>
  <si>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</si>
  <si>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</si>
  <si>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</si>
  <si>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</si>
  <si>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</si>
  <si>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</si>
  <si>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</si>
  <si>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</si>
  <si>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</si>
  <si>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</si>
  <si>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</si>
  <si>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</si>
  <si>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</si>
  <si>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</si>
  <si>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</si>
  <si>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</si>
  <si>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</si>
  <si>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</si>
  <si>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</si>
  <si>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</si>
  <si>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</si>
  <si>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</si>
  <si>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</si>
  <si>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</si>
  <si>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</si>
  <si>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</si>
  <si>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</si>
  <si>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</si>
  <si>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</si>
  <si>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</si>
  <si>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</si>
  <si>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</si>
  <si>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</si>
  <si>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</si>
  <si>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</si>
  <si>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</si>
  <si>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</si>
  <si>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</si>
  <si>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</si>
  <si>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</si>
  <si>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</si>
  <si>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</si>
  <si>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</si>
  <si>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</si>
  <si>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</si>
  <si>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</si>
  <si>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</si>
  <si>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</si>
  <si>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</si>
  <si>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</si>
  <si>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</si>
  <si>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</si>
  <si>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</si>
  <si>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</si>
  <si>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</si>
  <si>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</si>
  <si>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</si>
  <si>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</si>
  <si>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</si>
  <si>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</si>
  <si>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</si>
  <si>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</si>
  <si>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</si>
  <si>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</si>
  <si>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</si>
  <si>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</si>
  <si>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</si>
  <si>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</si>
  <si>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</si>
  <si>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</si>
  <si>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</si>
  <si>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</si>
  <si>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</si>
  <si>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</si>
  <si>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</si>
  <si>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</si>
  <si>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</si>
  <si>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</si>
  <si>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</si>
  <si>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</si>
  <si>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</si>
  <si>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</si>
  <si>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</si>
  <si>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</si>
  <si>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</si>
  <si>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</si>
  <si>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</si>
  <si>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</si>
  <si>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</si>
  <si>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</si>
  <si>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</si>
  <si>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</si>
  <si>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</si>
  <si>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</si>
  <si>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</si>
  <si>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</si>
  <si>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</si>
  <si>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</si>
  <si>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</si>
  <si>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</si>
  <si>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</si>
  <si>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44052</t>
  </si>
  <si>
    <t>OOSTERZELE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</si>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</sst>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121280.21175601181</c:v>
                </c:pt>
                <c:pt idx="1">
                  <c:v>23113.739220077849</c:v>
                </c:pt>
                <c:pt idx="2">
                  <c:v>1084.306</c:v>
                </c:pt>
                <c:pt idx="3">
                  <c:v>13322.245844374114</c:v>
                </c:pt>
                <c:pt idx="4">
                  <c:v>10357.34489441402</c:v>
                </c:pt>
                <c:pt idx="5">
                  <c:v>97152.216916674734</c:v>
                </c:pt>
                <c:pt idx="6">
                  <c:v>657.13941644334261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121280.21175601181</c:v>
                </c:pt>
                <c:pt idx="1">
                  <c:v>23113.739220077849</c:v>
                </c:pt>
                <c:pt idx="2">
                  <c:v>1084.306</c:v>
                </c:pt>
                <c:pt idx="3">
                  <c:v>13322.245844374114</c:v>
                </c:pt>
                <c:pt idx="4">
                  <c:v>10357.34489441402</c:v>
                </c:pt>
                <c:pt idx="5">
                  <c:v>97152.216916674734</c:v>
                </c:pt>
                <c:pt idx="6">
                  <c:v>657.13941644334261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25429.910004590547</c:v>
                </c:pt>
                <c:pt idx="2">
                  <c:v>4558.1425471193907</c:v>
                </c:pt>
                <c:pt idx="3">
                  <c:v>219.93309700949507</c:v>
                </c:pt>
                <c:pt idx="4">
                  <c:v>3408.2701215683205</c:v>
                </c:pt>
                <c:pt idx="5">
                  <c:v>2145.8574041829256</c:v>
                </c:pt>
                <c:pt idx="6">
                  <c:v>24313.663779707767</c:v>
                </c:pt>
                <c:pt idx="7">
                  <c:v>165.57741166808626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25429.910004590547</c:v>
                </c:pt>
                <c:pt idx="2">
                  <c:v>4558.1425471193907</c:v>
                </c:pt>
                <c:pt idx="3">
                  <c:v>219.93309700949507</c:v>
                </c:pt>
                <c:pt idx="4">
                  <c:v>3408.2701215683205</c:v>
                </c:pt>
                <c:pt idx="5">
                  <c:v>2145.8574041829256</c:v>
                </c:pt>
                <c:pt idx="6">
                  <c:v>24313.663779707767</c:v>
                </c:pt>
                <c:pt idx="7">
                  <c:v>165.57741166808626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44052</v>
      </c>
      <c r="B6" s="384"/>
      <c r="C6" s="385"/>
    </row>
    <row r="7" spans="1:7" s="382" customFormat="1" ht="15.75" customHeight="1">
      <c r="A7" s="386" t="str">
        <f>txtMunicipality</f>
        <v>OOSTERZELE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10712.965396967335</v>
      </c>
      <c r="D10" s="973">
        <f ca="1">tertiair!C16</f>
        <v>0</v>
      </c>
      <c r="E10" s="973">
        <f ca="1">tertiair!D16</f>
        <v>10527.602335045025</v>
      </c>
      <c r="F10" s="973">
        <f>tertiair!E16</f>
        <v>135.97243290129137</v>
      </c>
      <c r="G10" s="973">
        <f ca="1">tertiair!F16</f>
        <v>1676.7080766396889</v>
      </c>
      <c r="H10" s="973">
        <f>tertiair!G16</f>
        <v>0</v>
      </c>
      <c r="I10" s="973">
        <f>tertiair!H16</f>
        <v>0</v>
      </c>
      <c r="J10" s="973">
        <f>tertiair!I16</f>
        <v>0</v>
      </c>
      <c r="K10" s="973">
        <f>tertiair!J16</f>
        <v>2.7370656976390031E-2</v>
      </c>
      <c r="L10" s="973">
        <f>tertiair!K16</f>
        <v>0</v>
      </c>
      <c r="M10" s="973">
        <f ca="1">tertiair!L16</f>
        <v>0</v>
      </c>
      <c r="N10" s="973">
        <f>tertiair!M16</f>
        <v>0</v>
      </c>
      <c r="O10" s="973">
        <f ca="1">tertiair!N16</f>
        <v>1086.0062745342004</v>
      </c>
      <c r="P10" s="973">
        <f>tertiair!O16</f>
        <v>1.5633333333333335</v>
      </c>
      <c r="Q10" s="974">
        <f>tertiair!P16</f>
        <v>57.2</v>
      </c>
      <c r="R10" s="668">
        <f ca="1">SUM(C10:Q10)</f>
        <v>24198.045220077845</v>
      </c>
      <c r="S10" s="67"/>
    </row>
    <row r="11" spans="1:19" s="441" customFormat="1">
      <c r="A11" s="777" t="s">
        <v>219</v>
      </c>
      <c r="B11" s="782"/>
      <c r="C11" s="973">
        <f>huishoudens!B8</f>
        <v>27403.796844985456</v>
      </c>
      <c r="D11" s="973">
        <f>huishoudens!C8</f>
        <v>0</v>
      </c>
      <c r="E11" s="973">
        <f>huishoudens!D8</f>
        <v>38288.922213713471</v>
      </c>
      <c r="F11" s="973">
        <f>huishoudens!E8</f>
        <v>1725.3163726957389</v>
      </c>
      <c r="G11" s="973">
        <f>huishoudens!F8</f>
        <v>43711.783120639913</v>
      </c>
      <c r="H11" s="973">
        <f>huishoudens!G8</f>
        <v>0</v>
      </c>
      <c r="I11" s="973">
        <f>huishoudens!H8</f>
        <v>0</v>
      </c>
      <c r="J11" s="973">
        <f>huishoudens!I8</f>
        <v>0</v>
      </c>
      <c r="K11" s="973">
        <f>huishoudens!J8</f>
        <v>210.33619629900417</v>
      </c>
      <c r="L11" s="973">
        <f>huishoudens!K8</f>
        <v>0</v>
      </c>
      <c r="M11" s="973">
        <f>huishoudens!L8</f>
        <v>0</v>
      </c>
      <c r="N11" s="973">
        <f>huishoudens!M8</f>
        <v>0</v>
      </c>
      <c r="O11" s="973">
        <f>huishoudens!N8</f>
        <v>8306.4870076782081</v>
      </c>
      <c r="P11" s="973">
        <f>huishoudens!O8</f>
        <v>279.8366666666667</v>
      </c>
      <c r="Q11" s="974">
        <f>huishoudens!P8</f>
        <v>1353.7333333333333</v>
      </c>
      <c r="R11" s="668">
        <f>SUM(C11:Q11)</f>
        <v>121280.21175601181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4395.1674149434675</v>
      </c>
      <c r="D13" s="973">
        <f>industrie!C18</f>
        <v>0</v>
      </c>
      <c r="E13" s="973">
        <f>industrie!D18</f>
        <v>3604.2981414123283</v>
      </c>
      <c r="F13" s="973">
        <f>industrie!E18</f>
        <v>501.21274825387422</v>
      </c>
      <c r="G13" s="973">
        <f>industrie!F18</f>
        <v>1531.915557085455</v>
      </c>
      <c r="H13" s="973">
        <f>industrie!G18</f>
        <v>0</v>
      </c>
      <c r="I13" s="973">
        <f>industrie!H18</f>
        <v>0</v>
      </c>
      <c r="J13" s="973">
        <f>industrie!I18</f>
        <v>0</v>
      </c>
      <c r="K13" s="973">
        <f>industrie!J18</f>
        <v>9.9073564847569262</v>
      </c>
      <c r="L13" s="973">
        <f>industrie!K18</f>
        <v>0</v>
      </c>
      <c r="M13" s="973">
        <f>industrie!L18</f>
        <v>0</v>
      </c>
      <c r="N13" s="973">
        <f>industrie!M18</f>
        <v>0</v>
      </c>
      <c r="O13" s="973">
        <f>industrie!N18</f>
        <v>314.84367623413874</v>
      </c>
      <c r="P13" s="973">
        <f>industrie!O18</f>
        <v>0</v>
      </c>
      <c r="Q13" s="974">
        <f>industrie!P18</f>
        <v>0</v>
      </c>
      <c r="R13" s="668">
        <f>SUM(C13:Q13)</f>
        <v>10357.34489441402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42511.92965689626</v>
      </c>
      <c r="D16" s="700">
        <f t="shared" ref="D16:R16" ca="1" si="0">SUM(D9:D15)</f>
        <v>0</v>
      </c>
      <c r="E16" s="700">
        <f t="shared" ca="1" si="0"/>
        <v>52420.822690170826</v>
      </c>
      <c r="F16" s="700">
        <f t="shared" si="0"/>
        <v>2362.5015538509042</v>
      </c>
      <c r="G16" s="700">
        <f t="shared" ca="1" si="0"/>
        <v>46920.40675436506</v>
      </c>
      <c r="H16" s="700">
        <f t="shared" si="0"/>
        <v>0</v>
      </c>
      <c r="I16" s="700">
        <f t="shared" si="0"/>
        <v>0</v>
      </c>
      <c r="J16" s="700">
        <f t="shared" si="0"/>
        <v>0</v>
      </c>
      <c r="K16" s="700">
        <f t="shared" si="0"/>
        <v>220.27092344073748</v>
      </c>
      <c r="L16" s="700">
        <f t="shared" si="0"/>
        <v>0</v>
      </c>
      <c r="M16" s="700">
        <f t="shared" ca="1" si="0"/>
        <v>0</v>
      </c>
      <c r="N16" s="700">
        <f t="shared" si="0"/>
        <v>0</v>
      </c>
      <c r="O16" s="700">
        <f t="shared" ca="1" si="0"/>
        <v>9707.3369584465472</v>
      </c>
      <c r="P16" s="700">
        <f t="shared" si="0"/>
        <v>281.40000000000003</v>
      </c>
      <c r="Q16" s="700">
        <f t="shared" si="0"/>
        <v>1410.9333333333334</v>
      </c>
      <c r="R16" s="700">
        <f t="shared" ca="1" si="0"/>
        <v>155835.60187050365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6.5484874952628003</v>
      </c>
      <c r="D19" s="973">
        <f>transport!C54</f>
        <v>0</v>
      </c>
      <c r="E19" s="973">
        <f>transport!D54</f>
        <v>0</v>
      </c>
      <c r="F19" s="973">
        <f>transport!E54</f>
        <v>0</v>
      </c>
      <c r="G19" s="973">
        <f>transport!F54</f>
        <v>0</v>
      </c>
      <c r="H19" s="973">
        <f>transport!G54</f>
        <v>615.16540057305167</v>
      </c>
      <c r="I19" s="973">
        <f>transport!H54</f>
        <v>0</v>
      </c>
      <c r="J19" s="973">
        <f>transport!I54</f>
        <v>0</v>
      </c>
      <c r="K19" s="973">
        <f>transport!J54</f>
        <v>0</v>
      </c>
      <c r="L19" s="973">
        <f>transport!K54</f>
        <v>0</v>
      </c>
      <c r="M19" s="973">
        <f>transport!L54</f>
        <v>0</v>
      </c>
      <c r="N19" s="973">
        <f>transport!M54</f>
        <v>35.425528375028208</v>
      </c>
      <c r="O19" s="973">
        <f>transport!N54</f>
        <v>0</v>
      </c>
      <c r="P19" s="973">
        <f>transport!O54</f>
        <v>0</v>
      </c>
      <c r="Q19" s="974">
        <f>transport!P54</f>
        <v>0</v>
      </c>
      <c r="R19" s="668">
        <f>SUM(C19:Q19)</f>
        <v>657.13941644334261</v>
      </c>
      <c r="S19" s="67"/>
    </row>
    <row r="20" spans="1:19" s="441" customFormat="1">
      <c r="A20" s="777" t="s">
        <v>301</v>
      </c>
      <c r="B20" s="782"/>
      <c r="C20" s="973">
        <f>transport!B14</f>
        <v>58.003181422701843</v>
      </c>
      <c r="D20" s="973">
        <f>transport!C14</f>
        <v>0</v>
      </c>
      <c r="E20" s="973">
        <f>transport!D14</f>
        <v>105.86653462779644</v>
      </c>
      <c r="F20" s="973">
        <f>transport!E14</f>
        <v>183.06221600778085</v>
      </c>
      <c r="G20" s="973">
        <f>transport!F14</f>
        <v>0</v>
      </c>
      <c r="H20" s="973">
        <f>transport!G14</f>
        <v>74964.493065155228</v>
      </c>
      <c r="I20" s="973">
        <f>transport!H14</f>
        <v>16961.602433239554</v>
      </c>
      <c r="J20" s="973">
        <f>transport!I14</f>
        <v>0</v>
      </c>
      <c r="K20" s="973">
        <f>transport!J14</f>
        <v>0</v>
      </c>
      <c r="L20" s="973">
        <f>transport!K14</f>
        <v>0</v>
      </c>
      <c r="M20" s="973">
        <f>transport!L14</f>
        <v>0</v>
      </c>
      <c r="N20" s="973">
        <f>transport!M14</f>
        <v>4879.1894862216832</v>
      </c>
      <c r="O20" s="973">
        <f>transport!N14</f>
        <v>0</v>
      </c>
      <c r="P20" s="973">
        <f>transport!O14</f>
        <v>0</v>
      </c>
      <c r="Q20" s="974">
        <f>transport!P14</f>
        <v>0</v>
      </c>
      <c r="R20" s="668">
        <f>SUM(C20:Q20)</f>
        <v>97152.216916674734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64.551668917964648</v>
      </c>
      <c r="D22" s="780">
        <f t="shared" ref="D22:R22" si="1">SUM(D18:D21)</f>
        <v>0</v>
      </c>
      <c r="E22" s="780">
        <f t="shared" si="1"/>
        <v>105.86653462779644</v>
      </c>
      <c r="F22" s="780">
        <f t="shared" si="1"/>
        <v>183.06221600778085</v>
      </c>
      <c r="G22" s="780">
        <f t="shared" si="1"/>
        <v>0</v>
      </c>
      <c r="H22" s="780">
        <f t="shared" si="1"/>
        <v>75579.65846572828</v>
      </c>
      <c r="I22" s="780">
        <f t="shared" si="1"/>
        <v>16961.602433239554</v>
      </c>
      <c r="J22" s="780">
        <f t="shared" si="1"/>
        <v>0</v>
      </c>
      <c r="K22" s="780">
        <f t="shared" si="1"/>
        <v>0</v>
      </c>
      <c r="L22" s="780">
        <f t="shared" si="1"/>
        <v>0</v>
      </c>
      <c r="M22" s="780">
        <f t="shared" si="1"/>
        <v>0</v>
      </c>
      <c r="N22" s="780">
        <f t="shared" si="1"/>
        <v>4914.6150145967113</v>
      </c>
      <c r="O22" s="780">
        <f t="shared" si="1"/>
        <v>0</v>
      </c>
      <c r="P22" s="780">
        <f t="shared" si="1"/>
        <v>0</v>
      </c>
      <c r="Q22" s="780">
        <f t="shared" si="1"/>
        <v>0</v>
      </c>
      <c r="R22" s="780">
        <f t="shared" si="1"/>
        <v>97809.356333118078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2436.2607569687561</v>
      </c>
      <c r="D24" s="973">
        <f>+landbouw!C8</f>
        <v>0</v>
      </c>
      <c r="E24" s="973">
        <f>+landbouw!D8</f>
        <v>312.08341326223592</v>
      </c>
      <c r="F24" s="973">
        <f>+landbouw!E8</f>
        <v>71.609144846537887</v>
      </c>
      <c r="G24" s="973">
        <f>+landbouw!F8</f>
        <v>10149.330664910462</v>
      </c>
      <c r="H24" s="973">
        <f>+landbouw!G8</f>
        <v>0</v>
      </c>
      <c r="I24" s="973">
        <f>+landbouw!H8</f>
        <v>0</v>
      </c>
      <c r="J24" s="973">
        <f>+landbouw!I8</f>
        <v>0</v>
      </c>
      <c r="K24" s="973">
        <f>+landbouw!J8</f>
        <v>352.96186438612381</v>
      </c>
      <c r="L24" s="973">
        <f>+landbouw!K8</f>
        <v>0</v>
      </c>
      <c r="M24" s="973">
        <f>+landbouw!L8</f>
        <v>0</v>
      </c>
      <c r="N24" s="973">
        <f>+landbouw!M8</f>
        <v>0</v>
      </c>
      <c r="O24" s="973">
        <f>+landbouw!N8</f>
        <v>0</v>
      </c>
      <c r="P24" s="973">
        <f>+landbouw!O8</f>
        <v>0</v>
      </c>
      <c r="Q24" s="974">
        <f>+landbouw!P8</f>
        <v>0</v>
      </c>
      <c r="R24" s="668">
        <f>SUM(C24:Q24)</f>
        <v>13322.245844374114</v>
      </c>
      <c r="S24" s="67"/>
    </row>
    <row r="25" spans="1:19" s="441" customFormat="1" ht="15" thickBot="1">
      <c r="A25" s="799" t="s">
        <v>808</v>
      </c>
      <c r="B25" s="976"/>
      <c r="C25" s="977">
        <f>IF(Onbekend_ele_kWh="---",0,Onbekend_ele_kWh)/1000+IF(REST_rest_ele_kWh="---",0,REST_rest_ele_kWh)/1000</f>
        <v>650.32174286243298</v>
      </c>
      <c r="D25" s="977"/>
      <c r="E25" s="977">
        <f>IF(onbekend_gas_kWh="---",0,onbekend_gas_kWh)/1000+IF(REST_rest_gas_kWh="---",0,REST_rest_gas_kWh)/1000</f>
        <v>1493.4818737957701</v>
      </c>
      <c r="F25" s="977"/>
      <c r="G25" s="977"/>
      <c r="H25" s="977"/>
      <c r="I25" s="977"/>
      <c r="J25" s="977"/>
      <c r="K25" s="977"/>
      <c r="L25" s="977"/>
      <c r="M25" s="977"/>
      <c r="N25" s="977"/>
      <c r="O25" s="977"/>
      <c r="P25" s="977"/>
      <c r="Q25" s="978"/>
      <c r="R25" s="668">
        <f>SUM(C25:Q25)</f>
        <v>2143.8036166582033</v>
      </c>
      <c r="S25" s="67"/>
    </row>
    <row r="26" spans="1:19" s="441" customFormat="1" ht="15.75" thickBot="1">
      <c r="A26" s="673" t="s">
        <v>809</v>
      </c>
      <c r="B26" s="785"/>
      <c r="C26" s="780">
        <f>SUM(C24:C25)</f>
        <v>3086.5824998311891</v>
      </c>
      <c r="D26" s="780">
        <f t="shared" ref="D26:R26" si="2">SUM(D24:D25)</f>
        <v>0</v>
      </c>
      <c r="E26" s="780">
        <f t="shared" si="2"/>
        <v>1805.5652870580061</v>
      </c>
      <c r="F26" s="780">
        <f t="shared" si="2"/>
        <v>71.609144846537887</v>
      </c>
      <c r="G26" s="780">
        <f t="shared" si="2"/>
        <v>10149.330664910462</v>
      </c>
      <c r="H26" s="780">
        <f t="shared" si="2"/>
        <v>0</v>
      </c>
      <c r="I26" s="780">
        <f t="shared" si="2"/>
        <v>0</v>
      </c>
      <c r="J26" s="780">
        <f t="shared" si="2"/>
        <v>0</v>
      </c>
      <c r="K26" s="780">
        <f t="shared" si="2"/>
        <v>352.96186438612381</v>
      </c>
      <c r="L26" s="780">
        <f t="shared" si="2"/>
        <v>0</v>
      </c>
      <c r="M26" s="780">
        <f t="shared" si="2"/>
        <v>0</v>
      </c>
      <c r="N26" s="780">
        <f t="shared" si="2"/>
        <v>0</v>
      </c>
      <c r="O26" s="780">
        <f t="shared" si="2"/>
        <v>0</v>
      </c>
      <c r="P26" s="780">
        <f t="shared" si="2"/>
        <v>0</v>
      </c>
      <c r="Q26" s="780">
        <f t="shared" si="2"/>
        <v>0</v>
      </c>
      <c r="R26" s="780">
        <f t="shared" si="2"/>
        <v>15466.049461032319</v>
      </c>
      <c r="S26" s="67"/>
    </row>
    <row r="27" spans="1:19" s="441" customFormat="1" ht="17.25" thickTop="1" thickBot="1">
      <c r="A27" s="674" t="s">
        <v>115</v>
      </c>
      <c r="B27" s="773"/>
      <c r="C27" s="675">
        <f ca="1">C22+C16+C26</f>
        <v>45663.063825645411</v>
      </c>
      <c r="D27" s="675">
        <f t="shared" ref="D27:R27" ca="1" si="3">D22+D16+D26</f>
        <v>0</v>
      </c>
      <c r="E27" s="675">
        <f t="shared" ca="1" si="3"/>
        <v>54332.254511856634</v>
      </c>
      <c r="F27" s="675">
        <f t="shared" si="3"/>
        <v>2617.1729147052229</v>
      </c>
      <c r="G27" s="675">
        <f t="shared" ca="1" si="3"/>
        <v>57069.737419275523</v>
      </c>
      <c r="H27" s="675">
        <f t="shared" si="3"/>
        <v>75579.65846572828</v>
      </c>
      <c r="I27" s="675">
        <f t="shared" si="3"/>
        <v>16961.602433239554</v>
      </c>
      <c r="J27" s="675">
        <f t="shared" si="3"/>
        <v>0</v>
      </c>
      <c r="K27" s="675">
        <f t="shared" si="3"/>
        <v>573.23278782686134</v>
      </c>
      <c r="L27" s="675">
        <f t="shared" si="3"/>
        <v>0</v>
      </c>
      <c r="M27" s="675">
        <f t="shared" ca="1" si="3"/>
        <v>0</v>
      </c>
      <c r="N27" s="675">
        <f t="shared" si="3"/>
        <v>4914.6150145967113</v>
      </c>
      <c r="O27" s="675">
        <f t="shared" ca="1" si="3"/>
        <v>9707.3369584465472</v>
      </c>
      <c r="P27" s="675">
        <f t="shared" si="3"/>
        <v>281.40000000000003</v>
      </c>
      <c r="Q27" s="675">
        <f t="shared" si="3"/>
        <v>1410.9333333333334</v>
      </c>
      <c r="R27" s="675">
        <f t="shared" ca="1" si="3"/>
        <v>269111.00766465405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2172.9434845058317</v>
      </c>
      <c r="D40" s="973">
        <f ca="1">tertiair!C20</f>
        <v>0</v>
      </c>
      <c r="E40" s="973">
        <f ca="1">tertiair!D20</f>
        <v>2126.5756716790952</v>
      </c>
      <c r="F40" s="973">
        <f>tertiair!E20</f>
        <v>30.865742268593142</v>
      </c>
      <c r="G40" s="973">
        <f ca="1">tertiair!F20</f>
        <v>447.68105646279696</v>
      </c>
      <c r="H40" s="973">
        <f>tertiair!G20</f>
        <v>0</v>
      </c>
      <c r="I40" s="973">
        <f>tertiair!H20</f>
        <v>0</v>
      </c>
      <c r="J40" s="973">
        <f>tertiair!I20</f>
        <v>0</v>
      </c>
      <c r="K40" s="973">
        <f>tertiair!J20</f>
        <v>9.6892125696420705E-3</v>
      </c>
      <c r="L40" s="973">
        <f>tertiair!K20</f>
        <v>0</v>
      </c>
      <c r="M40" s="973">
        <f ca="1">tertiair!L20</f>
        <v>0</v>
      </c>
      <c r="N40" s="973">
        <f>tertiair!M20</f>
        <v>0</v>
      </c>
      <c r="O40" s="973">
        <f ca="1">tertiair!N20</f>
        <v>0</v>
      </c>
      <c r="P40" s="973">
        <f>tertiair!O20</f>
        <v>0</v>
      </c>
      <c r="Q40" s="742">
        <f>tertiair!P20</f>
        <v>0</v>
      </c>
      <c r="R40" s="818">
        <f t="shared" ca="1" si="4"/>
        <v>4778.0756441288859</v>
      </c>
    </row>
    <row r="41" spans="1:18">
      <c r="A41" s="790" t="s">
        <v>219</v>
      </c>
      <c r="B41" s="797"/>
      <c r="C41" s="973">
        <f ca="1">huishoudens!B12</f>
        <v>5558.3957941177869</v>
      </c>
      <c r="D41" s="973">
        <f ca="1">huishoudens!C12</f>
        <v>0</v>
      </c>
      <c r="E41" s="973">
        <f>huishoudens!D12</f>
        <v>7734.3622871701218</v>
      </c>
      <c r="F41" s="973">
        <f>huishoudens!E12</f>
        <v>391.64681660193276</v>
      </c>
      <c r="G41" s="973">
        <f>huishoudens!F12</f>
        <v>11671.046093210858</v>
      </c>
      <c r="H41" s="973">
        <f>huishoudens!G12</f>
        <v>0</v>
      </c>
      <c r="I41" s="973">
        <f>huishoudens!H12</f>
        <v>0</v>
      </c>
      <c r="J41" s="973">
        <f>huishoudens!I12</f>
        <v>0</v>
      </c>
      <c r="K41" s="973">
        <f>huishoudens!J12</f>
        <v>74.459013489847479</v>
      </c>
      <c r="L41" s="973">
        <f>huishoudens!K12</f>
        <v>0</v>
      </c>
      <c r="M41" s="973">
        <f>huishoudens!L12</f>
        <v>0</v>
      </c>
      <c r="N41" s="973">
        <f>huishoudens!M12</f>
        <v>0</v>
      </c>
      <c r="O41" s="973">
        <f>huishoudens!N12</f>
        <v>0</v>
      </c>
      <c r="P41" s="973">
        <f>huishoudens!O12</f>
        <v>0</v>
      </c>
      <c r="Q41" s="742">
        <f>huishoudens!P12</f>
        <v>0</v>
      </c>
      <c r="R41" s="818">
        <f t="shared" ca="1" si="4"/>
        <v>25429.910004590547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891.48522782658529</v>
      </c>
      <c r="D43" s="973">
        <f ca="1">industrie!C22</f>
        <v>0</v>
      </c>
      <c r="E43" s="973">
        <f>industrie!D22</f>
        <v>728.06822456529039</v>
      </c>
      <c r="F43" s="973">
        <f>industrie!E22</f>
        <v>113.77529385362945</v>
      </c>
      <c r="G43" s="973">
        <f>industrie!F22</f>
        <v>409.02145374181652</v>
      </c>
      <c r="H43" s="973">
        <f>industrie!G22</f>
        <v>0</v>
      </c>
      <c r="I43" s="973">
        <f>industrie!H22</f>
        <v>0</v>
      </c>
      <c r="J43" s="973">
        <f>industrie!I22</f>
        <v>0</v>
      </c>
      <c r="K43" s="973">
        <f>industrie!J22</f>
        <v>3.5072041956039519</v>
      </c>
      <c r="L43" s="973">
        <f>industrie!K22</f>
        <v>0</v>
      </c>
      <c r="M43" s="973">
        <f>industrie!L22</f>
        <v>0</v>
      </c>
      <c r="N43" s="973">
        <f>industrie!M22</f>
        <v>0</v>
      </c>
      <c r="O43" s="973">
        <f>industrie!N22</f>
        <v>0</v>
      </c>
      <c r="P43" s="973">
        <f>industrie!O22</f>
        <v>0</v>
      </c>
      <c r="Q43" s="742">
        <f>industrie!P22</f>
        <v>0</v>
      </c>
      <c r="R43" s="817">
        <f t="shared" ca="1" si="4"/>
        <v>2145.8574041829256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8622.8245064502044</v>
      </c>
      <c r="D46" s="700">
        <f t="shared" ref="D46:Q46" ca="1" si="5">SUM(D39:D45)</f>
        <v>0</v>
      </c>
      <c r="E46" s="700">
        <f t="shared" ca="1" si="5"/>
        <v>10589.006183414507</v>
      </c>
      <c r="F46" s="700">
        <f t="shared" si="5"/>
        <v>536.2878527241553</v>
      </c>
      <c r="G46" s="700">
        <f t="shared" ca="1" si="5"/>
        <v>12527.748603415472</v>
      </c>
      <c r="H46" s="700">
        <f t="shared" si="5"/>
        <v>0</v>
      </c>
      <c r="I46" s="700">
        <f t="shared" si="5"/>
        <v>0</v>
      </c>
      <c r="J46" s="700">
        <f t="shared" si="5"/>
        <v>0</v>
      </c>
      <c r="K46" s="700">
        <f t="shared" si="5"/>
        <v>77.975906898021066</v>
      </c>
      <c r="L46" s="700">
        <f t="shared" si="5"/>
        <v>0</v>
      </c>
      <c r="M46" s="700">
        <f t="shared" ca="1" si="5"/>
        <v>0</v>
      </c>
      <c r="N46" s="700">
        <f t="shared" si="5"/>
        <v>0</v>
      </c>
      <c r="O46" s="700">
        <f t="shared" ca="1" si="5"/>
        <v>0</v>
      </c>
      <c r="P46" s="700">
        <f t="shared" si="5"/>
        <v>0</v>
      </c>
      <c r="Q46" s="700">
        <f t="shared" si="5"/>
        <v>0</v>
      </c>
      <c r="R46" s="700">
        <f ca="1">SUM(R39:R45)</f>
        <v>32353.843052902361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1.3282497150814427</v>
      </c>
      <c r="D49" s="973">
        <f ca="1">transport!C58</f>
        <v>0</v>
      </c>
      <c r="E49" s="973">
        <f>transport!D58</f>
        <v>0</v>
      </c>
      <c r="F49" s="973">
        <f>transport!E58</f>
        <v>0</v>
      </c>
      <c r="G49" s="973">
        <f>transport!F58</f>
        <v>0</v>
      </c>
      <c r="H49" s="973">
        <f>transport!G58</f>
        <v>164.2491619530048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165.57741166808626</v>
      </c>
    </row>
    <row r="50" spans="1:18">
      <c r="A50" s="793" t="s">
        <v>301</v>
      </c>
      <c r="B50" s="803"/>
      <c r="C50" s="671">
        <f ca="1">transport!B18</f>
        <v>11.764962406090557</v>
      </c>
      <c r="D50" s="671">
        <f>transport!C18</f>
        <v>0</v>
      </c>
      <c r="E50" s="671">
        <f>transport!D18</f>
        <v>21.385039994814882</v>
      </c>
      <c r="F50" s="671">
        <f>transport!E18</f>
        <v>41.55512303376625</v>
      </c>
      <c r="G50" s="671">
        <f>transport!F18</f>
        <v>0</v>
      </c>
      <c r="H50" s="671">
        <f>transport!G18</f>
        <v>20015.519648396446</v>
      </c>
      <c r="I50" s="671">
        <f>transport!H18</f>
        <v>4223.4390058766485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24313.663779707767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13.093212121172</v>
      </c>
      <c r="D52" s="700">
        <f t="shared" ref="D52:Q52" ca="1" si="6">SUM(D48:D51)</f>
        <v>0</v>
      </c>
      <c r="E52" s="700">
        <f t="shared" si="6"/>
        <v>21.385039994814882</v>
      </c>
      <c r="F52" s="700">
        <f t="shared" si="6"/>
        <v>41.55512303376625</v>
      </c>
      <c r="G52" s="700">
        <f t="shared" si="6"/>
        <v>0</v>
      </c>
      <c r="H52" s="700">
        <f t="shared" si="6"/>
        <v>20179.768810349451</v>
      </c>
      <c r="I52" s="700">
        <f t="shared" si="6"/>
        <v>4223.4390058766485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24479.241191375855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494.15420868540372</v>
      </c>
      <c r="D54" s="671">
        <f ca="1">+landbouw!C12</f>
        <v>0</v>
      </c>
      <c r="E54" s="671">
        <f>+landbouw!D12</f>
        <v>63.040849478971658</v>
      </c>
      <c r="F54" s="671">
        <f>+landbouw!E12</f>
        <v>16.255275880164103</v>
      </c>
      <c r="G54" s="671">
        <f>+landbouw!F12</f>
        <v>2709.8712875310935</v>
      </c>
      <c r="H54" s="671">
        <f>+landbouw!G12</f>
        <v>0</v>
      </c>
      <c r="I54" s="671">
        <f>+landbouw!H12</f>
        <v>0</v>
      </c>
      <c r="J54" s="671">
        <f>+landbouw!I12</f>
        <v>0</v>
      </c>
      <c r="K54" s="671">
        <f>+landbouw!J12</f>
        <v>124.94849999268781</v>
      </c>
      <c r="L54" s="671">
        <f>+landbouw!K12</f>
        <v>0</v>
      </c>
      <c r="M54" s="671">
        <f>+landbouw!L12</f>
        <v>0</v>
      </c>
      <c r="N54" s="671">
        <f>+landbouw!M12</f>
        <v>0</v>
      </c>
      <c r="O54" s="671">
        <f>+landbouw!N12</f>
        <v>0</v>
      </c>
      <c r="P54" s="671">
        <f>+landbouw!O12</f>
        <v>0</v>
      </c>
      <c r="Q54" s="672">
        <f>+landbouw!P12</f>
        <v>0</v>
      </c>
      <c r="R54" s="699">
        <f ca="1">SUM(C54:Q54)</f>
        <v>3408.2701215683205</v>
      </c>
    </row>
    <row r="55" spans="1:18" ht="15" thickBot="1">
      <c r="A55" s="793" t="s">
        <v>808</v>
      </c>
      <c r="B55" s="803"/>
      <c r="C55" s="671">
        <f ca="1">C25*'EF ele_warmte'!B12</f>
        <v>131.90674492287914</v>
      </c>
      <c r="D55" s="671"/>
      <c r="E55" s="671">
        <f>E25*EF_CO2_aardgas</f>
        <v>301.6833385067456</v>
      </c>
      <c r="F55" s="671"/>
      <c r="G55" s="671"/>
      <c r="H55" s="671"/>
      <c r="I55" s="671"/>
      <c r="J55" s="671"/>
      <c r="K55" s="671"/>
      <c r="L55" s="671"/>
      <c r="M55" s="671"/>
      <c r="N55" s="671"/>
      <c r="O55" s="671"/>
      <c r="P55" s="671"/>
      <c r="Q55" s="672"/>
      <c r="R55" s="699">
        <f ca="1">SUM(C55:Q55)</f>
        <v>433.59008342962477</v>
      </c>
    </row>
    <row r="56" spans="1:18" ht="15.75" thickBot="1">
      <c r="A56" s="791" t="s">
        <v>809</v>
      </c>
      <c r="B56" s="804"/>
      <c r="C56" s="700">
        <f ca="1">SUM(C54:C55)</f>
        <v>626.06095360828283</v>
      </c>
      <c r="D56" s="700">
        <f t="shared" ref="D56:Q56" ca="1" si="7">SUM(D54:D55)</f>
        <v>0</v>
      </c>
      <c r="E56" s="700">
        <f t="shared" si="7"/>
        <v>364.72418798571726</v>
      </c>
      <c r="F56" s="700">
        <f t="shared" si="7"/>
        <v>16.255275880164103</v>
      </c>
      <c r="G56" s="700">
        <f t="shared" si="7"/>
        <v>2709.8712875310935</v>
      </c>
      <c r="H56" s="700">
        <f t="shared" si="7"/>
        <v>0</v>
      </c>
      <c r="I56" s="700">
        <f t="shared" si="7"/>
        <v>0</v>
      </c>
      <c r="J56" s="700">
        <f t="shared" si="7"/>
        <v>0</v>
      </c>
      <c r="K56" s="700">
        <f t="shared" si="7"/>
        <v>124.94849999268781</v>
      </c>
      <c r="L56" s="700">
        <f t="shared" si="7"/>
        <v>0</v>
      </c>
      <c r="M56" s="700">
        <f t="shared" si="7"/>
        <v>0</v>
      </c>
      <c r="N56" s="700">
        <f t="shared" si="7"/>
        <v>0</v>
      </c>
      <c r="O56" s="700">
        <f t="shared" si="7"/>
        <v>0</v>
      </c>
      <c r="P56" s="700">
        <f t="shared" si="7"/>
        <v>0</v>
      </c>
      <c r="Q56" s="701">
        <f t="shared" si="7"/>
        <v>0</v>
      </c>
      <c r="R56" s="702">
        <f ca="1">SUM(R54:R55)</f>
        <v>3841.8602049979454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9261.978672179659</v>
      </c>
      <c r="D61" s="708">
        <f t="shared" ref="D61:Q61" ca="1" si="8">D46+D52+D56</f>
        <v>0</v>
      </c>
      <c r="E61" s="708">
        <f t="shared" ca="1" si="8"/>
        <v>10975.11541139504</v>
      </c>
      <c r="F61" s="708">
        <f t="shared" si="8"/>
        <v>594.09825163808557</v>
      </c>
      <c r="G61" s="708">
        <f t="shared" ca="1" si="8"/>
        <v>15237.619890946566</v>
      </c>
      <c r="H61" s="708">
        <f t="shared" si="8"/>
        <v>20179.768810349451</v>
      </c>
      <c r="I61" s="708">
        <f t="shared" si="8"/>
        <v>4223.4390058766485</v>
      </c>
      <c r="J61" s="708">
        <f t="shared" si="8"/>
        <v>0</v>
      </c>
      <c r="K61" s="708">
        <f t="shared" si="8"/>
        <v>202.92440689070889</v>
      </c>
      <c r="L61" s="708">
        <f t="shared" si="8"/>
        <v>0</v>
      </c>
      <c r="M61" s="708">
        <f t="shared" ca="1" si="8"/>
        <v>0</v>
      </c>
      <c r="N61" s="708">
        <f t="shared" si="8"/>
        <v>0</v>
      </c>
      <c r="O61" s="708">
        <f t="shared" ca="1" si="8"/>
        <v>0</v>
      </c>
      <c r="P61" s="708">
        <f t="shared" si="8"/>
        <v>0</v>
      </c>
      <c r="Q61" s="708">
        <f t="shared" si="8"/>
        <v>0</v>
      </c>
      <c r="R61" s="708">
        <f ca="1">R46+R52+R56</f>
        <v>60674.944449276161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0.20283305359326156</v>
      </c>
      <c r="D63" s="749">
        <f t="shared" ca="1" si="9"/>
        <v>0</v>
      </c>
      <c r="E63" s="984">
        <f t="shared" ca="1" si="9"/>
        <v>0.20199999999999999</v>
      </c>
      <c r="F63" s="749">
        <f t="shared" si="9"/>
        <v>0.22699999999999998</v>
      </c>
      <c r="G63" s="749">
        <f t="shared" ca="1" si="9"/>
        <v>0.26700000000000002</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3753.6580691763702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3753.6580691763702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27403.796844985456</v>
      </c>
      <c r="C4" s="445">
        <f>huishoudens!C8</f>
        <v>0</v>
      </c>
      <c r="D4" s="445">
        <f>huishoudens!D8</f>
        <v>38288.922213713471</v>
      </c>
      <c r="E4" s="445">
        <f>huishoudens!E8</f>
        <v>1725.3163726957389</v>
      </c>
      <c r="F4" s="445">
        <f>huishoudens!F8</f>
        <v>43711.783120639913</v>
      </c>
      <c r="G4" s="445">
        <f>huishoudens!G8</f>
        <v>0</v>
      </c>
      <c r="H4" s="445">
        <f>huishoudens!H8</f>
        <v>0</v>
      </c>
      <c r="I4" s="445">
        <f>huishoudens!I8</f>
        <v>0</v>
      </c>
      <c r="J4" s="445">
        <f>huishoudens!J8</f>
        <v>210.33619629900417</v>
      </c>
      <c r="K4" s="445">
        <f>huishoudens!K8</f>
        <v>0</v>
      </c>
      <c r="L4" s="445">
        <f>huishoudens!L8</f>
        <v>0</v>
      </c>
      <c r="M4" s="445">
        <f>huishoudens!M8</f>
        <v>0</v>
      </c>
      <c r="N4" s="445">
        <f>huishoudens!N8</f>
        <v>8306.4870076782081</v>
      </c>
      <c r="O4" s="445">
        <f>huishoudens!O8</f>
        <v>279.8366666666667</v>
      </c>
      <c r="P4" s="446">
        <f>huishoudens!P8</f>
        <v>1353.7333333333333</v>
      </c>
      <c r="Q4" s="447">
        <f>SUM(B4:P4)</f>
        <v>121280.21175601181</v>
      </c>
    </row>
    <row r="5" spans="1:17">
      <c r="A5" s="444" t="s">
        <v>155</v>
      </c>
      <c r="B5" s="445">
        <f ca="1">tertiair!B16</f>
        <v>9628.659396967334</v>
      </c>
      <c r="C5" s="445">
        <f ca="1">tertiair!C16</f>
        <v>0</v>
      </c>
      <c r="D5" s="445">
        <f ca="1">tertiair!D16</f>
        <v>10527.602335045025</v>
      </c>
      <c r="E5" s="445">
        <f>tertiair!E16</f>
        <v>135.97243290129137</v>
      </c>
      <c r="F5" s="445">
        <f ca="1">tertiair!F16</f>
        <v>1676.7080766396889</v>
      </c>
      <c r="G5" s="445">
        <f>tertiair!G16</f>
        <v>0</v>
      </c>
      <c r="H5" s="445">
        <f>tertiair!H16</f>
        <v>0</v>
      </c>
      <c r="I5" s="445">
        <f>tertiair!I16</f>
        <v>0</v>
      </c>
      <c r="J5" s="445">
        <f>tertiair!J16</f>
        <v>2.7370656976390031E-2</v>
      </c>
      <c r="K5" s="445">
        <f>tertiair!K16</f>
        <v>0</v>
      </c>
      <c r="L5" s="445">
        <f ca="1">tertiair!L16</f>
        <v>0</v>
      </c>
      <c r="M5" s="445">
        <f>tertiair!M16</f>
        <v>0</v>
      </c>
      <c r="N5" s="445">
        <f ca="1">tertiair!N16</f>
        <v>1086.0062745342004</v>
      </c>
      <c r="O5" s="445">
        <f>tertiair!O16</f>
        <v>1.5633333333333335</v>
      </c>
      <c r="P5" s="446">
        <f>tertiair!P16</f>
        <v>57.2</v>
      </c>
      <c r="Q5" s="444">
        <f t="shared" ref="Q5:Q14" ca="1" si="0">SUM(B5:P5)</f>
        <v>23113.739220077849</v>
      </c>
    </row>
    <row r="6" spans="1:17">
      <c r="A6" s="444" t="s">
        <v>193</v>
      </c>
      <c r="B6" s="445">
        <f>'openbare verlichting'!B8</f>
        <v>1084.306</v>
      </c>
      <c r="C6" s="445"/>
      <c r="D6" s="445"/>
      <c r="E6" s="445"/>
      <c r="F6" s="445"/>
      <c r="G6" s="445"/>
      <c r="H6" s="445"/>
      <c r="I6" s="445"/>
      <c r="J6" s="445"/>
      <c r="K6" s="445"/>
      <c r="L6" s="445"/>
      <c r="M6" s="445"/>
      <c r="N6" s="445"/>
      <c r="O6" s="445"/>
      <c r="P6" s="446"/>
      <c r="Q6" s="444">
        <f t="shared" si="0"/>
        <v>1084.306</v>
      </c>
    </row>
    <row r="7" spans="1:17">
      <c r="A7" s="444" t="s">
        <v>111</v>
      </c>
      <c r="B7" s="445">
        <f>landbouw!B8</f>
        <v>2436.2607569687561</v>
      </c>
      <c r="C7" s="445">
        <f>landbouw!C8</f>
        <v>0</v>
      </c>
      <c r="D7" s="445">
        <f>landbouw!D8</f>
        <v>312.08341326223592</v>
      </c>
      <c r="E7" s="445">
        <f>landbouw!E8</f>
        <v>71.609144846537887</v>
      </c>
      <c r="F7" s="445">
        <f>landbouw!F8</f>
        <v>10149.330664910462</v>
      </c>
      <c r="G7" s="445">
        <f>landbouw!G8</f>
        <v>0</v>
      </c>
      <c r="H7" s="445">
        <f>landbouw!H8</f>
        <v>0</v>
      </c>
      <c r="I7" s="445">
        <f>landbouw!I8</f>
        <v>0</v>
      </c>
      <c r="J7" s="445">
        <f>landbouw!J8</f>
        <v>352.96186438612381</v>
      </c>
      <c r="K7" s="445">
        <f>landbouw!K8</f>
        <v>0</v>
      </c>
      <c r="L7" s="445">
        <f>landbouw!L8</f>
        <v>0</v>
      </c>
      <c r="M7" s="445">
        <f>landbouw!M8</f>
        <v>0</v>
      </c>
      <c r="N7" s="445">
        <f>landbouw!N8</f>
        <v>0</v>
      </c>
      <c r="O7" s="445">
        <f>landbouw!O8</f>
        <v>0</v>
      </c>
      <c r="P7" s="446">
        <f>landbouw!P8</f>
        <v>0</v>
      </c>
      <c r="Q7" s="444">
        <f t="shared" si="0"/>
        <v>13322.245844374114</v>
      </c>
    </row>
    <row r="8" spans="1:17">
      <c r="A8" s="444" t="s">
        <v>627</v>
      </c>
      <c r="B8" s="445">
        <f>industrie!B18</f>
        <v>4395.1674149434675</v>
      </c>
      <c r="C8" s="445">
        <f>industrie!C18</f>
        <v>0</v>
      </c>
      <c r="D8" s="445">
        <f>industrie!D18</f>
        <v>3604.2981414123283</v>
      </c>
      <c r="E8" s="445">
        <f>industrie!E18</f>
        <v>501.21274825387422</v>
      </c>
      <c r="F8" s="445">
        <f>industrie!F18</f>
        <v>1531.915557085455</v>
      </c>
      <c r="G8" s="445">
        <f>industrie!G18</f>
        <v>0</v>
      </c>
      <c r="H8" s="445">
        <f>industrie!H18</f>
        <v>0</v>
      </c>
      <c r="I8" s="445">
        <f>industrie!I18</f>
        <v>0</v>
      </c>
      <c r="J8" s="445">
        <f>industrie!J18</f>
        <v>9.9073564847569262</v>
      </c>
      <c r="K8" s="445">
        <f>industrie!K18</f>
        <v>0</v>
      </c>
      <c r="L8" s="445">
        <f>industrie!L18</f>
        <v>0</v>
      </c>
      <c r="M8" s="445">
        <f>industrie!M18</f>
        <v>0</v>
      </c>
      <c r="N8" s="445">
        <f>industrie!N18</f>
        <v>314.84367623413874</v>
      </c>
      <c r="O8" s="445">
        <f>industrie!O18</f>
        <v>0</v>
      </c>
      <c r="P8" s="446">
        <f>industrie!P18</f>
        <v>0</v>
      </c>
      <c r="Q8" s="444">
        <f t="shared" si="0"/>
        <v>10357.34489441402</v>
      </c>
    </row>
    <row r="9" spans="1:17" s="450" customFormat="1">
      <c r="A9" s="448" t="s">
        <v>553</v>
      </c>
      <c r="B9" s="449">
        <f>transport!B14</f>
        <v>58.003181422701843</v>
      </c>
      <c r="C9" s="449">
        <f>transport!C14</f>
        <v>0</v>
      </c>
      <c r="D9" s="449">
        <f>transport!D14</f>
        <v>105.86653462779644</v>
      </c>
      <c r="E9" s="449">
        <f>transport!E14</f>
        <v>183.06221600778085</v>
      </c>
      <c r="F9" s="449">
        <f>transport!F14</f>
        <v>0</v>
      </c>
      <c r="G9" s="449">
        <f>transport!G14</f>
        <v>74964.493065155228</v>
      </c>
      <c r="H9" s="449">
        <f>transport!H14</f>
        <v>16961.602433239554</v>
      </c>
      <c r="I9" s="449">
        <f>transport!I14</f>
        <v>0</v>
      </c>
      <c r="J9" s="449">
        <f>transport!J14</f>
        <v>0</v>
      </c>
      <c r="K9" s="449">
        <f>transport!K14</f>
        <v>0</v>
      </c>
      <c r="L9" s="449">
        <f>transport!L14</f>
        <v>0</v>
      </c>
      <c r="M9" s="449">
        <f>transport!M14</f>
        <v>4879.1894862216832</v>
      </c>
      <c r="N9" s="449">
        <f>transport!N14</f>
        <v>0</v>
      </c>
      <c r="O9" s="449">
        <f>transport!O14</f>
        <v>0</v>
      </c>
      <c r="P9" s="449">
        <f>transport!P14</f>
        <v>0</v>
      </c>
      <c r="Q9" s="448">
        <f>SUM(B9:P9)</f>
        <v>97152.216916674734</v>
      </c>
    </row>
    <row r="10" spans="1:17">
      <c r="A10" s="444" t="s">
        <v>543</v>
      </c>
      <c r="B10" s="445">
        <f>transport!B54</f>
        <v>6.5484874952628003</v>
      </c>
      <c r="C10" s="445">
        <f>transport!C54</f>
        <v>0</v>
      </c>
      <c r="D10" s="445">
        <f>transport!D54</f>
        <v>0</v>
      </c>
      <c r="E10" s="445">
        <f>transport!E54</f>
        <v>0</v>
      </c>
      <c r="F10" s="445">
        <f>transport!F54</f>
        <v>0</v>
      </c>
      <c r="G10" s="445">
        <f>transport!G54</f>
        <v>615.16540057305167</v>
      </c>
      <c r="H10" s="445">
        <f>transport!H54</f>
        <v>0</v>
      </c>
      <c r="I10" s="445">
        <f>transport!I54</f>
        <v>0</v>
      </c>
      <c r="J10" s="445">
        <f>transport!J54</f>
        <v>0</v>
      </c>
      <c r="K10" s="445">
        <f>transport!K54</f>
        <v>0</v>
      </c>
      <c r="L10" s="445">
        <f>transport!L54</f>
        <v>0</v>
      </c>
      <c r="M10" s="445">
        <f>transport!M54</f>
        <v>35.425528375028208</v>
      </c>
      <c r="N10" s="445">
        <f>transport!N54</f>
        <v>0</v>
      </c>
      <c r="O10" s="445">
        <f>transport!O54</f>
        <v>0</v>
      </c>
      <c r="P10" s="446">
        <f>transport!P54</f>
        <v>0</v>
      </c>
      <c r="Q10" s="444">
        <f t="shared" si="0"/>
        <v>657.13941644334261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650.32174286243298</v>
      </c>
      <c r="C14" s="452"/>
      <c r="D14" s="452">
        <f>'SEAP template'!E25</f>
        <v>1493.4818737957701</v>
      </c>
      <c r="E14" s="452"/>
      <c r="F14" s="452"/>
      <c r="G14" s="452"/>
      <c r="H14" s="452"/>
      <c r="I14" s="452"/>
      <c r="J14" s="452"/>
      <c r="K14" s="452"/>
      <c r="L14" s="452"/>
      <c r="M14" s="452"/>
      <c r="N14" s="452"/>
      <c r="O14" s="452"/>
      <c r="P14" s="453"/>
      <c r="Q14" s="444">
        <f t="shared" si="0"/>
        <v>2143.8036166582033</v>
      </c>
    </row>
    <row r="15" spans="1:17" s="454" customFormat="1">
      <c r="A15" s="999" t="s">
        <v>547</v>
      </c>
      <c r="B15" s="947">
        <f ca="1">SUM(B4:B14)</f>
        <v>45663.063825645411</v>
      </c>
      <c r="C15" s="947">
        <f t="shared" ref="C15:Q15" ca="1" si="1">SUM(C4:C14)</f>
        <v>0</v>
      </c>
      <c r="D15" s="947">
        <f t="shared" ca="1" si="1"/>
        <v>54332.254511856627</v>
      </c>
      <c r="E15" s="947">
        <f t="shared" si="1"/>
        <v>2617.1729147052233</v>
      </c>
      <c r="F15" s="947">
        <f t="shared" ca="1" si="1"/>
        <v>57069.737419275523</v>
      </c>
      <c r="G15" s="947">
        <f t="shared" si="1"/>
        <v>75579.65846572828</v>
      </c>
      <c r="H15" s="947">
        <f t="shared" si="1"/>
        <v>16961.602433239554</v>
      </c>
      <c r="I15" s="947">
        <f t="shared" si="1"/>
        <v>0</v>
      </c>
      <c r="J15" s="947">
        <f t="shared" si="1"/>
        <v>573.23278782686134</v>
      </c>
      <c r="K15" s="947">
        <f t="shared" si="1"/>
        <v>0</v>
      </c>
      <c r="L15" s="947">
        <f t="shared" ca="1" si="1"/>
        <v>0</v>
      </c>
      <c r="M15" s="947">
        <f t="shared" si="1"/>
        <v>4914.6150145967113</v>
      </c>
      <c r="N15" s="947">
        <f t="shared" ca="1" si="1"/>
        <v>9707.3369584465472</v>
      </c>
      <c r="O15" s="947">
        <f t="shared" si="1"/>
        <v>281.40000000000003</v>
      </c>
      <c r="P15" s="947">
        <f t="shared" si="1"/>
        <v>1410.9333333333334</v>
      </c>
      <c r="Q15" s="947">
        <f t="shared" ca="1" si="1"/>
        <v>269111.00766465411</v>
      </c>
    </row>
    <row r="17" spans="1:17">
      <c r="A17" s="455" t="s">
        <v>548</v>
      </c>
      <c r="B17" s="754">
        <f ca="1">huishoudens!B10</f>
        <v>0.20283305359326156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5558.3957941177869</v>
      </c>
      <c r="C22" s="445">
        <f t="shared" ref="C22:C32" ca="1" si="3">C4*$C$17</f>
        <v>0</v>
      </c>
      <c r="D22" s="445">
        <f t="shared" ref="D22:D32" si="4">D4*$D$17</f>
        <v>7734.3622871701218</v>
      </c>
      <c r="E22" s="445">
        <f t="shared" ref="E22:E32" si="5">E4*$E$17</f>
        <v>391.64681660193276</v>
      </c>
      <c r="F22" s="445">
        <f t="shared" ref="F22:F32" si="6">F4*$F$17</f>
        <v>11671.046093210858</v>
      </c>
      <c r="G22" s="445">
        <f t="shared" ref="G22:G32" si="7">G4*$G$17</f>
        <v>0</v>
      </c>
      <c r="H22" s="445">
        <f t="shared" ref="H22:H32" si="8">H4*$H$17</f>
        <v>0</v>
      </c>
      <c r="I22" s="445">
        <f t="shared" ref="I22:I32" si="9">I4*$I$17</f>
        <v>0</v>
      </c>
      <c r="J22" s="445">
        <f t="shared" ref="J22:J32" si="10">J4*$J$17</f>
        <v>74.459013489847479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25429.910004590547</v>
      </c>
    </row>
    <row r="23" spans="1:17">
      <c r="A23" s="444" t="s">
        <v>155</v>
      </c>
      <c r="B23" s="445">
        <f t="shared" ca="1" si="2"/>
        <v>1953.0103874963368</v>
      </c>
      <c r="C23" s="445">
        <f t="shared" ca="1" si="3"/>
        <v>0</v>
      </c>
      <c r="D23" s="445">
        <f t="shared" ca="1" si="4"/>
        <v>2126.5756716790952</v>
      </c>
      <c r="E23" s="445">
        <f t="shared" si="5"/>
        <v>30.865742268593142</v>
      </c>
      <c r="F23" s="445">
        <f t="shared" ca="1" si="6"/>
        <v>447.68105646279696</v>
      </c>
      <c r="G23" s="445">
        <f t="shared" si="7"/>
        <v>0</v>
      </c>
      <c r="H23" s="445">
        <f t="shared" si="8"/>
        <v>0</v>
      </c>
      <c r="I23" s="445">
        <f t="shared" si="9"/>
        <v>0</v>
      </c>
      <c r="J23" s="445">
        <f t="shared" si="10"/>
        <v>9.6892125696420705E-3</v>
      </c>
      <c r="K23" s="445">
        <f t="shared" si="11"/>
        <v>0</v>
      </c>
      <c r="L23" s="445">
        <f t="shared" ca="1" si="12"/>
        <v>0</v>
      </c>
      <c r="M23" s="445">
        <f t="shared" si="13"/>
        <v>0</v>
      </c>
      <c r="N23" s="445">
        <f t="shared" ca="1" si="14"/>
        <v>0</v>
      </c>
      <c r="O23" s="445">
        <f t="shared" si="15"/>
        <v>0</v>
      </c>
      <c r="P23" s="446">
        <f t="shared" si="16"/>
        <v>0</v>
      </c>
      <c r="Q23" s="444">
        <f t="shared" ref="Q23:Q32" ca="1" si="17">SUM(B23:P23)</f>
        <v>4558.1425471193907</v>
      </c>
    </row>
    <row r="24" spans="1:17">
      <c r="A24" s="444" t="s">
        <v>193</v>
      </c>
      <c r="B24" s="445">
        <f t="shared" ca="1" si="2"/>
        <v>219.93309700949507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219.93309700949507</v>
      </c>
    </row>
    <row r="25" spans="1:17">
      <c r="A25" s="444" t="s">
        <v>111</v>
      </c>
      <c r="B25" s="445">
        <f t="shared" ca="1" si="2"/>
        <v>494.15420868540372</v>
      </c>
      <c r="C25" s="445">
        <f t="shared" ca="1" si="3"/>
        <v>0</v>
      </c>
      <c r="D25" s="445">
        <f t="shared" si="4"/>
        <v>63.040849478971658</v>
      </c>
      <c r="E25" s="445">
        <f t="shared" si="5"/>
        <v>16.255275880164103</v>
      </c>
      <c r="F25" s="445">
        <f t="shared" si="6"/>
        <v>2709.8712875310935</v>
      </c>
      <c r="G25" s="445">
        <f t="shared" si="7"/>
        <v>0</v>
      </c>
      <c r="H25" s="445">
        <f t="shared" si="8"/>
        <v>0</v>
      </c>
      <c r="I25" s="445">
        <f t="shared" si="9"/>
        <v>0</v>
      </c>
      <c r="J25" s="445">
        <f t="shared" si="10"/>
        <v>124.94849999268781</v>
      </c>
      <c r="K25" s="445">
        <f t="shared" si="11"/>
        <v>0</v>
      </c>
      <c r="L25" s="445">
        <f t="shared" si="12"/>
        <v>0</v>
      </c>
      <c r="M25" s="445">
        <f t="shared" si="13"/>
        <v>0</v>
      </c>
      <c r="N25" s="445">
        <f t="shared" si="14"/>
        <v>0</v>
      </c>
      <c r="O25" s="445">
        <f t="shared" si="15"/>
        <v>0</v>
      </c>
      <c r="P25" s="446">
        <f t="shared" si="16"/>
        <v>0</v>
      </c>
      <c r="Q25" s="444">
        <f t="shared" ca="1" si="17"/>
        <v>3408.2701215683205</v>
      </c>
    </row>
    <row r="26" spans="1:17">
      <c r="A26" s="444" t="s">
        <v>627</v>
      </c>
      <c r="B26" s="445">
        <f t="shared" ca="1" si="2"/>
        <v>891.48522782658529</v>
      </c>
      <c r="C26" s="445">
        <f t="shared" ca="1" si="3"/>
        <v>0</v>
      </c>
      <c r="D26" s="445">
        <f t="shared" si="4"/>
        <v>728.06822456529039</v>
      </c>
      <c r="E26" s="445">
        <f t="shared" si="5"/>
        <v>113.77529385362945</v>
      </c>
      <c r="F26" s="445">
        <f t="shared" si="6"/>
        <v>409.02145374181652</v>
      </c>
      <c r="G26" s="445">
        <f t="shared" si="7"/>
        <v>0</v>
      </c>
      <c r="H26" s="445">
        <f t="shared" si="8"/>
        <v>0</v>
      </c>
      <c r="I26" s="445">
        <f t="shared" si="9"/>
        <v>0</v>
      </c>
      <c r="J26" s="445">
        <f t="shared" si="10"/>
        <v>3.5072041956039519</v>
      </c>
      <c r="K26" s="445">
        <f t="shared" si="11"/>
        <v>0</v>
      </c>
      <c r="L26" s="445">
        <f t="shared" si="12"/>
        <v>0</v>
      </c>
      <c r="M26" s="445">
        <f t="shared" si="13"/>
        <v>0</v>
      </c>
      <c r="N26" s="445">
        <f t="shared" si="14"/>
        <v>0</v>
      </c>
      <c r="O26" s="445">
        <f t="shared" si="15"/>
        <v>0</v>
      </c>
      <c r="P26" s="446">
        <f t="shared" si="16"/>
        <v>0</v>
      </c>
      <c r="Q26" s="444">
        <f t="shared" ca="1" si="17"/>
        <v>2145.8574041829256</v>
      </c>
    </row>
    <row r="27" spans="1:17" s="450" customFormat="1">
      <c r="A27" s="448" t="s">
        <v>553</v>
      </c>
      <c r="B27" s="748">
        <f t="shared" ca="1" si="2"/>
        <v>11.764962406090557</v>
      </c>
      <c r="C27" s="449">
        <f t="shared" ca="1" si="3"/>
        <v>0</v>
      </c>
      <c r="D27" s="449">
        <f t="shared" si="4"/>
        <v>21.385039994814882</v>
      </c>
      <c r="E27" s="449">
        <f t="shared" si="5"/>
        <v>41.55512303376625</v>
      </c>
      <c r="F27" s="449">
        <f t="shared" si="6"/>
        <v>0</v>
      </c>
      <c r="G27" s="449">
        <f t="shared" si="7"/>
        <v>20015.519648396446</v>
      </c>
      <c r="H27" s="449">
        <f t="shared" si="8"/>
        <v>4223.4390058766485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24313.663779707767</v>
      </c>
    </row>
    <row r="28" spans="1:17">
      <c r="A28" s="444" t="s">
        <v>543</v>
      </c>
      <c r="B28" s="445">
        <f t="shared" ca="1" si="2"/>
        <v>1.3282497150814427</v>
      </c>
      <c r="C28" s="445">
        <f t="shared" ca="1" si="3"/>
        <v>0</v>
      </c>
      <c r="D28" s="445">
        <f t="shared" si="4"/>
        <v>0</v>
      </c>
      <c r="E28" s="445">
        <f t="shared" si="5"/>
        <v>0</v>
      </c>
      <c r="F28" s="445">
        <f t="shared" si="6"/>
        <v>0</v>
      </c>
      <c r="G28" s="445">
        <f t="shared" si="7"/>
        <v>164.2491619530048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165.57741166808626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131.90674492287914</v>
      </c>
      <c r="C32" s="445">
        <f t="shared" ca="1" si="3"/>
        <v>0</v>
      </c>
      <c r="D32" s="445">
        <f t="shared" si="4"/>
        <v>301.6833385067456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433.59008342962477</v>
      </c>
    </row>
    <row r="33" spans="1:17" s="454" customFormat="1">
      <c r="A33" s="999" t="s">
        <v>547</v>
      </c>
      <c r="B33" s="947">
        <f ca="1">SUM(B22:B32)</f>
        <v>9261.9786721796572</v>
      </c>
      <c r="C33" s="947">
        <f t="shared" ref="C33:Q33" ca="1" si="18">SUM(C22:C32)</f>
        <v>0</v>
      </c>
      <c r="D33" s="947">
        <f t="shared" ca="1" si="18"/>
        <v>10975.11541139504</v>
      </c>
      <c r="E33" s="947">
        <f t="shared" si="18"/>
        <v>594.09825163808569</v>
      </c>
      <c r="F33" s="947">
        <f t="shared" ca="1" si="18"/>
        <v>15237.619890946566</v>
      </c>
      <c r="G33" s="947">
        <f t="shared" si="18"/>
        <v>20179.768810349451</v>
      </c>
      <c r="H33" s="947">
        <f t="shared" si="18"/>
        <v>4223.4390058766485</v>
      </c>
      <c r="I33" s="947">
        <f t="shared" si="18"/>
        <v>0</v>
      </c>
      <c r="J33" s="947">
        <f t="shared" si="18"/>
        <v>202.92440689070889</v>
      </c>
      <c r="K33" s="947">
        <f t="shared" si="18"/>
        <v>0</v>
      </c>
      <c r="L33" s="947">
        <f t="shared" ca="1" si="18"/>
        <v>0</v>
      </c>
      <c r="M33" s="947">
        <f t="shared" si="18"/>
        <v>0</v>
      </c>
      <c r="N33" s="947">
        <f t="shared" ca="1" si="18"/>
        <v>0</v>
      </c>
      <c r="O33" s="947">
        <f t="shared" si="18"/>
        <v>0</v>
      </c>
      <c r="P33" s="947">
        <f t="shared" si="18"/>
        <v>0</v>
      </c>
      <c r="Q33" s="947">
        <f t="shared" ca="1" si="18"/>
        <v>60674.944449276161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3753.6580691763702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3753.6580691763702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0.20283305359326156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0.20283305359326156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0.20283305359326156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0.20283305359326156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5396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2508.61</v>
      </c>
      <c r="C14" s="324"/>
      <c r="D14" s="324"/>
      <c r="E14" s="324"/>
      <c r="F14" s="324"/>
    </row>
    <row r="15" spans="1:6">
      <c r="A15" s="1291" t="s">
        <v>183</v>
      </c>
      <c r="B15" s="1292">
        <v>17</v>
      </c>
      <c r="C15" s="324"/>
      <c r="D15" s="324"/>
      <c r="E15" s="324"/>
      <c r="F15" s="324"/>
    </row>
    <row r="16" spans="1:6">
      <c r="A16" s="1291" t="s">
        <v>6</v>
      </c>
      <c r="B16" s="1292">
        <v>898</v>
      </c>
      <c r="C16" s="324"/>
      <c r="D16" s="324"/>
      <c r="E16" s="324"/>
      <c r="F16" s="324"/>
    </row>
    <row r="17" spans="1:6">
      <c r="A17" s="1291" t="s">
        <v>7</v>
      </c>
      <c r="B17" s="1292">
        <v>638</v>
      </c>
      <c r="C17" s="324"/>
      <c r="D17" s="324"/>
      <c r="E17" s="324"/>
      <c r="F17" s="324"/>
    </row>
    <row r="18" spans="1:6">
      <c r="A18" s="1291" t="s">
        <v>8</v>
      </c>
      <c r="B18" s="1292">
        <v>1153</v>
      </c>
      <c r="C18" s="324"/>
      <c r="D18" s="324"/>
      <c r="E18" s="324"/>
      <c r="F18" s="324"/>
    </row>
    <row r="19" spans="1:6">
      <c r="A19" s="1291" t="s">
        <v>9</v>
      </c>
      <c r="B19" s="1292">
        <v>1217</v>
      </c>
      <c r="C19" s="324"/>
      <c r="D19" s="324"/>
      <c r="E19" s="324"/>
      <c r="F19" s="324"/>
    </row>
    <row r="20" spans="1:6">
      <c r="A20" s="1291" t="s">
        <v>10</v>
      </c>
      <c r="B20" s="1292">
        <v>703</v>
      </c>
      <c r="C20" s="324"/>
      <c r="D20" s="324"/>
      <c r="E20" s="324"/>
      <c r="F20" s="324"/>
    </row>
    <row r="21" spans="1:6">
      <c r="A21" s="1291" t="s">
        <v>11</v>
      </c>
      <c r="B21" s="1292">
        <v>693</v>
      </c>
      <c r="C21" s="324"/>
      <c r="D21" s="324"/>
      <c r="E21" s="324"/>
      <c r="F21" s="324"/>
    </row>
    <row r="22" spans="1:6">
      <c r="A22" s="1291" t="s">
        <v>12</v>
      </c>
      <c r="B22" s="1292">
        <v>8020</v>
      </c>
      <c r="C22" s="324"/>
      <c r="D22" s="324"/>
      <c r="E22" s="324"/>
      <c r="F22" s="324"/>
    </row>
    <row r="23" spans="1:6">
      <c r="A23" s="1291" t="s">
        <v>13</v>
      </c>
      <c r="B23" s="1292">
        <v>42</v>
      </c>
      <c r="C23" s="324"/>
      <c r="D23" s="324"/>
      <c r="E23" s="324"/>
      <c r="F23" s="324"/>
    </row>
    <row r="24" spans="1:6">
      <c r="A24" s="1291" t="s">
        <v>14</v>
      </c>
      <c r="B24" s="1292">
        <v>2</v>
      </c>
      <c r="C24" s="324"/>
      <c r="D24" s="324"/>
      <c r="E24" s="324"/>
      <c r="F24" s="324"/>
    </row>
    <row r="25" spans="1:6">
      <c r="A25" s="1291" t="s">
        <v>15</v>
      </c>
      <c r="B25" s="1292">
        <v>197</v>
      </c>
      <c r="C25" s="324"/>
      <c r="D25" s="324"/>
      <c r="E25" s="324"/>
      <c r="F25" s="324"/>
    </row>
    <row r="26" spans="1:6">
      <c r="A26" s="1291" t="s">
        <v>16</v>
      </c>
      <c r="B26" s="1292">
        <v>145</v>
      </c>
      <c r="C26" s="324"/>
      <c r="D26" s="324"/>
      <c r="E26" s="324"/>
      <c r="F26" s="324"/>
    </row>
    <row r="27" spans="1:6">
      <c r="A27" s="1291" t="s">
        <v>17</v>
      </c>
      <c r="B27" s="1292">
        <v>192</v>
      </c>
      <c r="C27" s="324"/>
      <c r="D27" s="324"/>
      <c r="E27" s="324"/>
      <c r="F27" s="324"/>
    </row>
    <row r="28" spans="1:6" s="43" customFormat="1">
      <c r="A28" s="1293" t="s">
        <v>18</v>
      </c>
      <c r="B28" s="1294">
        <v>16108</v>
      </c>
      <c r="C28" s="330"/>
      <c r="D28" s="330"/>
      <c r="E28" s="330"/>
      <c r="F28" s="330"/>
    </row>
    <row r="29" spans="1:6">
      <c r="A29" s="1293" t="s">
        <v>722</v>
      </c>
      <c r="B29" s="1294">
        <v>206</v>
      </c>
      <c r="C29" s="330"/>
      <c r="D29" s="330"/>
      <c r="E29" s="330"/>
      <c r="F29" s="330"/>
    </row>
    <row r="30" spans="1:6">
      <c r="A30" s="1286" t="s">
        <v>723</v>
      </c>
      <c r="B30" s="1295">
        <v>40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2067</v>
      </c>
    </row>
    <row r="39" spans="1:6">
      <c r="A39" s="1291" t="s">
        <v>29</v>
      </c>
      <c r="B39" s="1291" t="s">
        <v>30</v>
      </c>
      <c r="C39" s="1292">
        <v>2482</v>
      </c>
      <c r="D39" s="1292">
        <v>42419071.735053398</v>
      </c>
      <c r="E39" s="1292">
        <v>5085</v>
      </c>
      <c r="F39" s="1292">
        <v>23913966.911251199</v>
      </c>
    </row>
    <row r="40" spans="1:6">
      <c r="A40" s="1291" t="s">
        <v>29</v>
      </c>
      <c r="B40" s="1291" t="s">
        <v>28</v>
      </c>
      <c r="C40" s="1292">
        <v>1</v>
      </c>
      <c r="D40" s="1292">
        <v>29844.244673291199</v>
      </c>
      <c r="E40" s="1292">
        <v>1</v>
      </c>
      <c r="F40" s="1292">
        <v>13734</v>
      </c>
    </row>
    <row r="41" spans="1:6">
      <c r="A41" s="1291" t="s">
        <v>31</v>
      </c>
      <c r="B41" s="1291" t="s">
        <v>32</v>
      </c>
      <c r="C41" s="1292">
        <v>34</v>
      </c>
      <c r="D41" s="1292">
        <v>832848.862549635</v>
      </c>
      <c r="E41" s="1292">
        <v>144</v>
      </c>
      <c r="F41" s="1292">
        <v>1187380.92413923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71528.423402011598</v>
      </c>
      <c r="E44" s="1292">
        <v>11</v>
      </c>
      <c r="F44" s="1292">
        <v>53713.387892338098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22</v>
      </c>
      <c r="D48" s="1292">
        <v>3091518.6579644601</v>
      </c>
      <c r="E48" s="1292">
        <v>35</v>
      </c>
      <c r="F48" s="1292">
        <v>2767432.71207465</v>
      </c>
    </row>
    <row r="49" spans="1:6">
      <c r="A49" s="1291" t="s">
        <v>31</v>
      </c>
      <c r="B49" s="1291" t="s">
        <v>39</v>
      </c>
      <c r="C49" s="1292">
        <v>0</v>
      </c>
      <c r="D49" s="1292">
        <v>0</v>
      </c>
      <c r="E49" s="1292">
        <v>0</v>
      </c>
      <c r="F49" s="1292">
        <v>0</v>
      </c>
    </row>
    <row r="50" spans="1:6">
      <c r="A50" s="1291" t="s">
        <v>31</v>
      </c>
      <c r="B50" s="1291" t="s">
        <v>40</v>
      </c>
      <c r="C50" s="1292">
        <v>0</v>
      </c>
      <c r="D50" s="1292">
        <v>0</v>
      </c>
      <c r="E50" s="1292">
        <v>10</v>
      </c>
      <c r="F50" s="1292">
        <v>386640.39083724999</v>
      </c>
    </row>
    <row r="51" spans="1:6">
      <c r="A51" s="1291" t="s">
        <v>41</v>
      </c>
      <c r="B51" s="1291" t="s">
        <v>42</v>
      </c>
      <c r="C51" s="1292">
        <v>4</v>
      </c>
      <c r="D51" s="1292">
        <v>98788.548720238105</v>
      </c>
      <c r="E51" s="1292">
        <v>115</v>
      </c>
      <c r="F51" s="1292">
        <v>2366111.8679160802</v>
      </c>
    </row>
    <row r="52" spans="1:6">
      <c r="A52" s="1291" t="s">
        <v>41</v>
      </c>
      <c r="B52" s="1291" t="s">
        <v>28</v>
      </c>
      <c r="C52" s="1292">
        <v>8</v>
      </c>
      <c r="D52" s="1292">
        <v>247201.93161483499</v>
      </c>
      <c r="E52" s="1292">
        <v>5</v>
      </c>
      <c r="F52" s="1292">
        <v>70148.889052675804</v>
      </c>
    </row>
    <row r="53" spans="1:6">
      <c r="A53" s="1291" t="s">
        <v>43</v>
      </c>
      <c r="B53" s="1291" t="s">
        <v>44</v>
      </c>
      <c r="C53" s="1292">
        <v>57</v>
      </c>
      <c r="D53" s="1292">
        <v>1493481.8737957701</v>
      </c>
      <c r="E53" s="1292">
        <v>170</v>
      </c>
      <c r="F53" s="1292">
        <v>650321.74286243296</v>
      </c>
    </row>
    <row r="54" spans="1:6">
      <c r="A54" s="1291" t="s">
        <v>45</v>
      </c>
      <c r="B54" s="1291" t="s">
        <v>46</v>
      </c>
      <c r="C54" s="1292">
        <v>0</v>
      </c>
      <c r="D54" s="1292">
        <v>0</v>
      </c>
      <c r="E54" s="1292">
        <v>6</v>
      </c>
      <c r="F54" s="1292">
        <v>1084306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19</v>
      </c>
      <c r="D57" s="1292">
        <v>823898.53277691698</v>
      </c>
      <c r="E57" s="1292">
        <v>59</v>
      </c>
      <c r="F57" s="1292">
        <v>991223.29897913104</v>
      </c>
    </row>
    <row r="58" spans="1:6">
      <c r="A58" s="1291" t="s">
        <v>48</v>
      </c>
      <c r="B58" s="1291" t="s">
        <v>50</v>
      </c>
      <c r="C58" s="1292">
        <v>16</v>
      </c>
      <c r="D58" s="1292">
        <v>370209.40528425301</v>
      </c>
      <c r="E58" s="1292">
        <v>32</v>
      </c>
      <c r="F58" s="1292">
        <v>273139.211528435</v>
      </c>
    </row>
    <row r="59" spans="1:6">
      <c r="A59" s="1291" t="s">
        <v>48</v>
      </c>
      <c r="B59" s="1291" t="s">
        <v>51</v>
      </c>
      <c r="C59" s="1292">
        <v>14</v>
      </c>
      <c r="D59" s="1292">
        <v>499679.224892614</v>
      </c>
      <c r="E59" s="1292">
        <v>98</v>
      </c>
      <c r="F59" s="1292">
        <v>2267395.8068356798</v>
      </c>
    </row>
    <row r="60" spans="1:6">
      <c r="A60" s="1291" t="s">
        <v>48</v>
      </c>
      <c r="B60" s="1291" t="s">
        <v>52</v>
      </c>
      <c r="C60" s="1292">
        <v>23</v>
      </c>
      <c r="D60" s="1292">
        <v>1071415.0483864199</v>
      </c>
      <c r="E60" s="1292">
        <v>50</v>
      </c>
      <c r="F60" s="1292">
        <v>1439293.9933247799</v>
      </c>
    </row>
    <row r="61" spans="1:6">
      <c r="A61" s="1291" t="s">
        <v>48</v>
      </c>
      <c r="B61" s="1291" t="s">
        <v>53</v>
      </c>
      <c r="C61" s="1292">
        <v>78</v>
      </c>
      <c r="D61" s="1292">
        <v>2683617.84611511</v>
      </c>
      <c r="E61" s="1292">
        <v>231</v>
      </c>
      <c r="F61" s="1292">
        <v>2114670.1718407702</v>
      </c>
    </row>
    <row r="62" spans="1:6">
      <c r="A62" s="1291" t="s">
        <v>48</v>
      </c>
      <c r="B62" s="1291" t="s">
        <v>54</v>
      </c>
      <c r="C62" s="1292">
        <v>5</v>
      </c>
      <c r="D62" s="1292">
        <v>214912.04446269799</v>
      </c>
      <c r="E62" s="1292">
        <v>14</v>
      </c>
      <c r="F62" s="1292">
        <v>125004.383630129</v>
      </c>
    </row>
    <row r="63" spans="1:6">
      <c r="A63" s="1291" t="s">
        <v>48</v>
      </c>
      <c r="B63" s="1291" t="s">
        <v>28</v>
      </c>
      <c r="C63" s="1292">
        <v>86</v>
      </c>
      <c r="D63" s="1292">
        <v>6007667.3826108398</v>
      </c>
      <c r="E63" s="1292">
        <v>101</v>
      </c>
      <c r="F63" s="1292">
        <v>2417932.5308284098</v>
      </c>
    </row>
    <row r="64" spans="1:6">
      <c r="A64" s="1291" t="s">
        <v>55</v>
      </c>
      <c r="B64" s="1291" t="s">
        <v>56</v>
      </c>
      <c r="C64" s="1292">
        <v>0</v>
      </c>
      <c r="D64" s="1292">
        <v>0</v>
      </c>
      <c r="E64" s="1292">
        <v>0</v>
      </c>
      <c r="F64" s="1292">
        <v>0</v>
      </c>
    </row>
    <row r="65" spans="1:6">
      <c r="A65" s="1291" t="s">
        <v>55</v>
      </c>
      <c r="B65" s="1291" t="s">
        <v>28</v>
      </c>
      <c r="C65" s="1292">
        <v>1</v>
      </c>
      <c r="D65" s="1292">
        <v>15320.493311784099</v>
      </c>
      <c r="E65" s="1292">
        <v>1</v>
      </c>
      <c r="F65" s="1292">
        <v>9441.0648454292004</v>
      </c>
    </row>
    <row r="66" spans="1:6">
      <c r="A66" s="1291" t="s">
        <v>55</v>
      </c>
      <c r="B66" s="1291" t="s">
        <v>57</v>
      </c>
      <c r="C66" s="1292">
        <v>0</v>
      </c>
      <c r="D66" s="1292">
        <v>0</v>
      </c>
      <c r="E66" s="1292">
        <v>7</v>
      </c>
      <c r="F66" s="1292">
        <v>107656.71025980799</v>
      </c>
    </row>
    <row r="67" spans="1:6">
      <c r="A67" s="1293" t="s">
        <v>55</v>
      </c>
      <c r="B67" s="1293" t="s">
        <v>58</v>
      </c>
      <c r="C67" s="1292">
        <v>0</v>
      </c>
      <c r="D67" s="1292">
        <v>0</v>
      </c>
      <c r="E67" s="1292">
        <v>0</v>
      </c>
      <c r="F67" s="1292">
        <v>0</v>
      </c>
    </row>
    <row r="68" spans="1:6">
      <c r="A68" s="1286" t="s">
        <v>55</v>
      </c>
      <c r="B68" s="1286" t="s">
        <v>59</v>
      </c>
      <c r="C68" s="1295">
        <v>3</v>
      </c>
      <c r="D68" s="1295">
        <v>59343.899973952801</v>
      </c>
      <c r="E68" s="1295">
        <v>4</v>
      </c>
      <c r="F68" s="1295">
        <v>45786.033578146598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76713340</v>
      </c>
      <c r="E73" s="443"/>
      <c r="F73" s="324"/>
    </row>
    <row r="74" spans="1:6">
      <c r="A74" s="1291" t="s">
        <v>63</v>
      </c>
      <c r="B74" s="1291" t="s">
        <v>648</v>
      </c>
      <c r="C74" s="1305" t="s">
        <v>650</v>
      </c>
      <c r="D74" s="1306">
        <v>7096265.5</v>
      </c>
      <c r="E74" s="443"/>
      <c r="F74" s="324"/>
    </row>
    <row r="75" spans="1:6">
      <c r="A75" s="1291" t="s">
        <v>64</v>
      </c>
      <c r="B75" s="1291" t="s">
        <v>647</v>
      </c>
      <c r="C75" s="1305" t="s">
        <v>651</v>
      </c>
      <c r="D75" s="1306">
        <v>30979249</v>
      </c>
      <c r="E75" s="443"/>
      <c r="F75" s="324"/>
    </row>
    <row r="76" spans="1:6">
      <c r="A76" s="1291" t="s">
        <v>64</v>
      </c>
      <c r="B76" s="1291" t="s">
        <v>648</v>
      </c>
      <c r="C76" s="1305" t="s">
        <v>652</v>
      </c>
      <c r="D76" s="1306">
        <v>1086724.5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178733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3476.0959337342579</v>
      </c>
      <c r="C91" s="324"/>
      <c r="D91" s="324"/>
      <c r="E91" s="324"/>
      <c r="F91" s="324"/>
    </row>
    <row r="92" spans="1:6">
      <c r="A92" s="1286" t="s">
        <v>68</v>
      </c>
      <c r="B92" s="1287">
        <v>277.56213544211232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652</v>
      </c>
      <c r="C97" s="324"/>
      <c r="D97" s="324"/>
      <c r="E97" s="324"/>
      <c r="F97" s="324"/>
    </row>
    <row r="98" spans="1:6">
      <c r="A98" s="1291" t="s">
        <v>71</v>
      </c>
      <c r="B98" s="1292">
        <v>0</v>
      </c>
      <c r="C98" s="324"/>
      <c r="D98" s="324"/>
      <c r="E98" s="324"/>
      <c r="F98" s="324"/>
    </row>
    <row r="99" spans="1:6">
      <c r="A99" s="1291" t="s">
        <v>72</v>
      </c>
      <c r="B99" s="1292">
        <v>126</v>
      </c>
      <c r="C99" s="324"/>
      <c r="D99" s="324"/>
      <c r="E99" s="324"/>
      <c r="F99" s="324"/>
    </row>
    <row r="100" spans="1:6">
      <c r="A100" s="1291" t="s">
        <v>73</v>
      </c>
      <c r="B100" s="1292">
        <v>687</v>
      </c>
      <c r="C100" s="324"/>
      <c r="D100" s="324"/>
      <c r="E100" s="324"/>
      <c r="F100" s="324"/>
    </row>
    <row r="101" spans="1:6">
      <c r="A101" s="1291" t="s">
        <v>74</v>
      </c>
      <c r="B101" s="1292">
        <v>108</v>
      </c>
      <c r="C101" s="324"/>
      <c r="D101" s="324"/>
      <c r="E101" s="324"/>
      <c r="F101" s="324"/>
    </row>
    <row r="102" spans="1:6">
      <c r="A102" s="1291" t="s">
        <v>75</v>
      </c>
      <c r="B102" s="1292">
        <v>99</v>
      </c>
      <c r="C102" s="324"/>
      <c r="D102" s="324"/>
      <c r="E102" s="324"/>
      <c r="F102" s="324"/>
    </row>
    <row r="103" spans="1:6">
      <c r="A103" s="1291" t="s">
        <v>76</v>
      </c>
      <c r="B103" s="1292">
        <v>350</v>
      </c>
      <c r="C103" s="324"/>
      <c r="D103" s="324"/>
      <c r="E103" s="324"/>
      <c r="F103" s="324"/>
    </row>
    <row r="104" spans="1:6">
      <c r="A104" s="1291" t="s">
        <v>77</v>
      </c>
      <c r="B104" s="1292">
        <v>2839</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37</v>
      </c>
      <c r="C123" s="1292">
        <v>26</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153</v>
      </c>
      <c r="C129" s="324"/>
      <c r="D129" s="324"/>
      <c r="E129" s="324"/>
      <c r="F129" s="324"/>
    </row>
    <row r="130" spans="1:6">
      <c r="A130" s="1291" t="s">
        <v>289</v>
      </c>
      <c r="B130" s="1292">
        <v>1</v>
      </c>
      <c r="C130" s="324"/>
      <c r="D130" s="324"/>
      <c r="E130" s="324"/>
      <c r="F130" s="324"/>
    </row>
    <row r="131" spans="1:6">
      <c r="A131" s="1291" t="s">
        <v>290</v>
      </c>
      <c r="B131" s="1292">
        <v>3</v>
      </c>
      <c r="C131" s="324"/>
      <c r="D131" s="324"/>
      <c r="E131" s="324"/>
      <c r="F131" s="324"/>
    </row>
    <row r="132" spans="1:6">
      <c r="A132" s="1286" t="s">
        <v>291</v>
      </c>
      <c r="B132" s="1287">
        <v>33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45663.063825645411</v>
      </c>
      <c r="C3" s="43" t="s">
        <v>169</v>
      </c>
      <c r="D3" s="43"/>
      <c r="E3" s="154"/>
      <c r="F3" s="43"/>
      <c r="G3" s="43"/>
      <c r="H3" s="43"/>
      <c r="I3" s="43"/>
      <c r="J3" s="43"/>
      <c r="K3" s="96"/>
    </row>
    <row r="4" spans="1:11">
      <c r="A4" s="352" t="s">
        <v>170</v>
      </c>
      <c r="B4" s="49">
        <f>IF(ISERROR('SEAP template'!B78+'SEAP template'!C78),0,'SEAP template'!B78+'SEAP template'!C78)</f>
        <v>3753.6580691763702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0.20283305359326156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1084.306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1084.306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0.20283305359326156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219.93309700949507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23927.700911251199</v>
      </c>
      <c r="C5" s="17">
        <f>IF(ISERROR('Eigen informatie GS &amp; warmtenet'!B57),0,'Eigen informatie GS &amp; warmtenet'!B57)</f>
        <v>0</v>
      </c>
      <c r="D5" s="30">
        <f>(SUM(HH_hh_gas_kWh,HH_rest_gas_kWh)/1000)*0.902</f>
        <v>38288.922213713471</v>
      </c>
      <c r="E5" s="17">
        <f>B32*B41</f>
        <v>1725.3163726957389</v>
      </c>
      <c r="F5" s="17">
        <f>B36*B45</f>
        <v>43711.783120639913</v>
      </c>
      <c r="G5" s="18"/>
      <c r="H5" s="17"/>
      <c r="I5" s="17"/>
      <c r="J5" s="17">
        <f>B35*B44+C35*C44</f>
        <v>210.33619629900417</v>
      </c>
      <c r="K5" s="17"/>
      <c r="L5" s="17"/>
      <c r="M5" s="17"/>
      <c r="N5" s="17">
        <f>B34*B43+C34*C43</f>
        <v>8306.4870076782081</v>
      </c>
      <c r="O5" s="17">
        <f>B52*B53*B54</f>
        <v>279.8366666666667</v>
      </c>
      <c r="P5" s="17">
        <f>B60*B61*B62/1000-B60*B61*B62/1000/B63</f>
        <v>1353.7333333333333</v>
      </c>
    </row>
    <row r="6" spans="1:16">
      <c r="A6" s="16" t="s">
        <v>613</v>
      </c>
      <c r="B6" s="756">
        <f>kWh_PV_kleiner_dan_10kW</f>
        <v>3476.0959337342579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27403.796844985456</v>
      </c>
      <c r="C8" s="21">
        <f>C5</f>
        <v>0</v>
      </c>
      <c r="D8" s="21">
        <f>D5</f>
        <v>38288.922213713471</v>
      </c>
      <c r="E8" s="21">
        <f>E5</f>
        <v>1725.3163726957389</v>
      </c>
      <c r="F8" s="21">
        <f>F5</f>
        <v>43711.783120639913</v>
      </c>
      <c r="G8" s="21"/>
      <c r="H8" s="21"/>
      <c r="I8" s="21"/>
      <c r="J8" s="21">
        <f>J5</f>
        <v>210.33619629900417</v>
      </c>
      <c r="K8" s="21"/>
      <c r="L8" s="21">
        <f>L5</f>
        <v>0</v>
      </c>
      <c r="M8" s="21">
        <f>M5</f>
        <v>0</v>
      </c>
      <c r="N8" s="21">
        <f>N5</f>
        <v>8306.4870076782081</v>
      </c>
      <c r="O8" s="21">
        <f>O5</f>
        <v>279.8366666666667</v>
      </c>
      <c r="P8" s="21">
        <f>P5</f>
        <v>1353.7333333333333</v>
      </c>
    </row>
    <row r="9" spans="1:16">
      <c r="B9" s="19"/>
      <c r="C9" s="19"/>
      <c r="D9" s="254"/>
      <c r="E9" s="19"/>
      <c r="F9" s="19"/>
      <c r="G9" s="19"/>
      <c r="H9" s="19"/>
      <c r="I9" s="19"/>
      <c r="J9" s="19"/>
      <c r="K9" s="19"/>
      <c r="L9" s="19"/>
      <c r="M9" s="19"/>
      <c r="N9" s="19"/>
      <c r="O9" s="19"/>
      <c r="P9" s="19"/>
    </row>
    <row r="10" spans="1:16">
      <c r="A10" s="24" t="s">
        <v>213</v>
      </c>
      <c r="B10" s="25">
        <f ca="1">'EF ele_warmte'!B12</f>
        <v>0.20283305359326156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5558.3957941177869</v>
      </c>
      <c r="C12" s="23">
        <f ca="1">C10*C8</f>
        <v>0</v>
      </c>
      <c r="D12" s="23">
        <f>D8*D10</f>
        <v>7734.3622871701218</v>
      </c>
      <c r="E12" s="23">
        <f>E10*E8</f>
        <v>391.64681660193276</v>
      </c>
      <c r="F12" s="23">
        <f>F10*F8</f>
        <v>11671.046093210858</v>
      </c>
      <c r="G12" s="23"/>
      <c r="H12" s="23"/>
      <c r="I12" s="23"/>
      <c r="J12" s="23">
        <f>J10*J8</f>
        <v>74.459013489847479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5396</v>
      </c>
      <c r="C26" s="36"/>
      <c r="D26" s="225"/>
    </row>
    <row r="27" spans="1:5" s="15" customFormat="1">
      <c r="A27" s="227" t="s">
        <v>768</v>
      </c>
      <c r="B27" s="37">
        <f>SUM(HH_hh_gas_aantal,HH_rest_gas_aantal)</f>
        <v>2483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2358.85</v>
      </c>
      <c r="C31" s="34" t="s">
        <v>110</v>
      </c>
      <c r="D31" s="171"/>
    </row>
    <row r="32" spans="1:5">
      <c r="A32" s="168" t="s">
        <v>72</v>
      </c>
      <c r="B32" s="33">
        <f>IF((B21*($B$26-($B$27-0.05*$B$27)-$B$60))&lt;0,0,B21*($B$26-($B$27-0.05*$B$27)-$B$60))</f>
        <v>32.629116166130707</v>
      </c>
      <c r="C32" s="34" t="s">
        <v>110</v>
      </c>
      <c r="D32" s="171"/>
    </row>
    <row r="33" spans="1:6">
      <c r="A33" s="168" t="s">
        <v>73</v>
      </c>
      <c r="B33" s="33">
        <f>IF((B22*($B$26-($B$27-0.05*$B$27)-$B$60))&lt;0,0,B22*($B$26-($B$27-0.05*$B$27)-$B$60))</f>
        <v>678.38672602335851</v>
      </c>
      <c r="C33" s="34" t="s">
        <v>110</v>
      </c>
      <c r="D33" s="171"/>
    </row>
    <row r="34" spans="1:6">
      <c r="A34" s="168" t="s">
        <v>74</v>
      </c>
      <c r="B34" s="33">
        <f>IF((B24*($B$26-($B$27-0.05*$B$27)-$B$60))&lt;0,0,B24*($B$26-($B$27-0.05*$B$27)-$B$60))</f>
        <v>134.90700360111356</v>
      </c>
      <c r="C34" s="33">
        <f>B26*C24</f>
        <v>1104.5371993013293</v>
      </c>
      <c r="D34" s="230"/>
    </row>
    <row r="35" spans="1:6">
      <c r="A35" s="168" t="s">
        <v>76</v>
      </c>
      <c r="B35" s="33">
        <f>IF((B19*($B$26-($B$27-0.05*$B$27)-$B$60))&lt;0,0,B19*($B$26-($B$27-0.05*$B$27)-$B$60))</f>
        <v>24.696722518059001</v>
      </c>
      <c r="C35" s="33">
        <f>B35/2</f>
        <v>12.348361259029501</v>
      </c>
      <c r="D35" s="230"/>
    </row>
    <row r="36" spans="1:6">
      <c r="A36" s="168" t="s">
        <v>77</v>
      </c>
      <c r="B36" s="33">
        <f>IF((B18*($B$26-($B$27-0.05*$B$27)-$B$60))&lt;0,0,B18*($B$26-($B$27-0.05*$B$27)-$B$60))</f>
        <v>2095.5304316913384</v>
      </c>
      <c r="C36" s="34" t="s">
        <v>110</v>
      </c>
      <c r="D36" s="171"/>
    </row>
    <row r="37" spans="1:6">
      <c r="A37" s="168" t="s">
        <v>78</v>
      </c>
      <c r="B37" s="33">
        <f>B60</f>
        <v>71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9628.659396967334</v>
      </c>
      <c r="C5" s="17">
        <f>IF(ISERROR('Eigen informatie GS &amp; warmtenet'!B58),0,'Eigen informatie GS &amp; warmtenet'!B58)</f>
        <v>0</v>
      </c>
      <c r="D5" s="30">
        <f>SUM(D6:D12)</f>
        <v>10527.602335045025</v>
      </c>
      <c r="E5" s="17">
        <f>SUM(E6:E12)</f>
        <v>135.97243290129137</v>
      </c>
      <c r="F5" s="17">
        <f>SUM(F6:F12)</f>
        <v>1676.7080766396889</v>
      </c>
      <c r="G5" s="18"/>
      <c r="H5" s="17"/>
      <c r="I5" s="17"/>
      <c r="J5" s="17">
        <f>SUM(J6:J12)</f>
        <v>2.7370656976390031E-2</v>
      </c>
      <c r="K5" s="17"/>
      <c r="L5" s="17"/>
      <c r="M5" s="17"/>
      <c r="N5" s="17">
        <f>SUM(N6:N12)</f>
        <v>1086.0062745342004</v>
      </c>
      <c r="O5" s="17">
        <f>B38*B39*B40</f>
        <v>1.5633333333333335</v>
      </c>
      <c r="P5" s="17">
        <f>B46*B47*B48/1000-B46*B47*B48/1000/B49</f>
        <v>57.2</v>
      </c>
      <c r="R5" s="32"/>
    </row>
    <row r="6" spans="1:18">
      <c r="A6" s="32" t="s">
        <v>53</v>
      </c>
      <c r="B6" s="37">
        <f>B26</f>
        <v>2114.6701718407703</v>
      </c>
      <c r="C6" s="33"/>
      <c r="D6" s="37">
        <f>IF(ISERROR(TER_kantoor_gas_kWh/1000),0,TER_kantoor_gas_kWh/1000)*0.902</f>
        <v>2420.6232971958293</v>
      </c>
      <c r="E6" s="33">
        <f>$C$26*'E Balans VL '!I12/100/3.6*1000000</f>
        <v>1.3254049308817425E-2</v>
      </c>
      <c r="F6" s="33">
        <f>$C$26*('E Balans VL '!L12+'E Balans VL '!N12)/100/3.6*1000000</f>
        <v>317.77583730747671</v>
      </c>
      <c r="G6" s="34"/>
      <c r="H6" s="33"/>
      <c r="I6" s="33"/>
      <c r="J6" s="33">
        <f>$C$26*('E Balans VL '!D12+'E Balans VL '!E12)/100/3.6*1000000</f>
        <v>0</v>
      </c>
      <c r="K6" s="33"/>
      <c r="L6" s="33"/>
      <c r="M6" s="33"/>
      <c r="N6" s="33">
        <f>$C$26*'E Balans VL '!Y12/100/3.6*1000000</f>
        <v>2.0223684851041659</v>
      </c>
      <c r="O6" s="33"/>
      <c r="P6" s="33"/>
      <c r="R6" s="32"/>
    </row>
    <row r="7" spans="1:18">
      <c r="A7" s="32" t="s">
        <v>52</v>
      </c>
      <c r="B7" s="37">
        <f t="shared" ref="B7:B12" si="0">B27</f>
        <v>1439.2939933247799</v>
      </c>
      <c r="C7" s="33"/>
      <c r="D7" s="37">
        <f>IF(ISERROR(TER_horeca_gas_kWh/1000),0,TER_horeca_gas_kWh/1000)*0.902</f>
        <v>966.41637364455073</v>
      </c>
      <c r="E7" s="33">
        <f>$C$27*'E Balans VL '!I9/100/3.6*1000000</f>
        <v>20.61045024379759</v>
      </c>
      <c r="F7" s="33">
        <f>$C$27*('E Balans VL '!L9+'E Balans VL '!N9)/100/3.6*1000000</f>
        <v>182.26208929962993</v>
      </c>
      <c r="G7" s="34"/>
      <c r="H7" s="33"/>
      <c r="I7" s="33"/>
      <c r="J7" s="33">
        <f>$C$27*('E Balans VL '!D9+'E Balans VL '!E9)/100/3.6*1000000</f>
        <v>0</v>
      </c>
      <c r="K7" s="33"/>
      <c r="L7" s="33"/>
      <c r="M7" s="33"/>
      <c r="N7" s="33">
        <f>$C$27*'E Balans VL '!Y9/100/3.6*1000000</f>
        <v>0.41376528937233231</v>
      </c>
      <c r="O7" s="33"/>
      <c r="P7" s="33"/>
      <c r="R7" s="32"/>
    </row>
    <row r="8" spans="1:18">
      <c r="A8" s="6" t="s">
        <v>51</v>
      </c>
      <c r="B8" s="37">
        <f t="shared" si="0"/>
        <v>2267.3958068356797</v>
      </c>
      <c r="C8" s="33"/>
      <c r="D8" s="37">
        <f>IF(ISERROR(TER_handel_gas_kWh/1000),0,TER_handel_gas_kWh/1000)*0.902</f>
        <v>450.71066085313782</v>
      </c>
      <c r="E8" s="33">
        <f>$C$28*'E Balans VL '!I13/100/3.6*1000000</f>
        <v>82.238166311205845</v>
      </c>
      <c r="F8" s="33">
        <f>$C$28*('E Balans VL '!L13+'E Balans VL '!N13)/100/3.6*1000000</f>
        <v>436.72339123877379</v>
      </c>
      <c r="G8" s="34"/>
      <c r="H8" s="33"/>
      <c r="I8" s="33"/>
      <c r="J8" s="33">
        <f>$C$28*('E Balans VL '!D13+'E Balans VL '!E13)/100/3.6*1000000</f>
        <v>0</v>
      </c>
      <c r="K8" s="33"/>
      <c r="L8" s="33"/>
      <c r="M8" s="33"/>
      <c r="N8" s="33">
        <f>$C$28*'E Balans VL '!Y13/100/3.6*1000000</f>
        <v>3.1408648969752457</v>
      </c>
      <c r="O8" s="33"/>
      <c r="P8" s="33"/>
      <c r="R8" s="32"/>
    </row>
    <row r="9" spans="1:18">
      <c r="A9" s="32" t="s">
        <v>50</v>
      </c>
      <c r="B9" s="37">
        <f t="shared" si="0"/>
        <v>273.139211528435</v>
      </c>
      <c r="C9" s="33"/>
      <c r="D9" s="37">
        <f>IF(ISERROR(TER_gezond_gas_kWh/1000),0,TER_gezond_gas_kWh/1000)*0.902</f>
        <v>333.92888356639622</v>
      </c>
      <c r="E9" s="33">
        <f>$C$29*'E Balans VL '!I10/100/3.6*1000000</f>
        <v>1.7101211404195557E-2</v>
      </c>
      <c r="F9" s="33">
        <f>$C$29*('E Balans VL '!L10+'E Balans VL '!N10)/100/3.6*1000000</f>
        <v>40.575661502247897</v>
      </c>
      <c r="G9" s="34"/>
      <c r="H9" s="33"/>
      <c r="I9" s="33"/>
      <c r="J9" s="33">
        <f>$C$29*('E Balans VL '!D10+'E Balans VL '!E10)/100/3.6*1000000</f>
        <v>0</v>
      </c>
      <c r="K9" s="33"/>
      <c r="L9" s="33"/>
      <c r="M9" s="33"/>
      <c r="N9" s="33">
        <f>$C$29*'E Balans VL '!Y10/100/3.6*1000000</f>
        <v>4.2249436796028572</v>
      </c>
      <c r="O9" s="33"/>
      <c r="P9" s="33"/>
      <c r="R9" s="32"/>
    </row>
    <row r="10" spans="1:18">
      <c r="A10" s="32" t="s">
        <v>49</v>
      </c>
      <c r="B10" s="37">
        <f t="shared" si="0"/>
        <v>991.22329897913107</v>
      </c>
      <c r="C10" s="33"/>
      <c r="D10" s="37">
        <f>IF(ISERROR(TER_ander_gas_kWh/1000),0,TER_ander_gas_kWh/1000)*0.902</f>
        <v>743.15647656477915</v>
      </c>
      <c r="E10" s="33">
        <f>$C$30*'E Balans VL '!I14/100/3.6*1000000</f>
        <v>1.1815027520474037</v>
      </c>
      <c r="F10" s="33">
        <f>$C$30*('E Balans VL '!L14+'E Balans VL '!N14)/100/3.6*1000000</f>
        <v>259.34808133970557</v>
      </c>
      <c r="G10" s="34"/>
      <c r="H10" s="33"/>
      <c r="I10" s="33"/>
      <c r="J10" s="33">
        <f>$C$30*('E Balans VL '!D14+'E Balans VL '!E14)/100/3.6*1000000</f>
        <v>2.1515572332790878E-2</v>
      </c>
      <c r="K10" s="33"/>
      <c r="L10" s="33"/>
      <c r="M10" s="33"/>
      <c r="N10" s="33">
        <f>$C$30*'E Balans VL '!Y14/100/3.6*1000000</f>
        <v>841.72257060036418</v>
      </c>
      <c r="O10" s="33"/>
      <c r="P10" s="33"/>
      <c r="R10" s="32"/>
    </row>
    <row r="11" spans="1:18">
      <c r="A11" s="32" t="s">
        <v>54</v>
      </c>
      <c r="B11" s="37">
        <f t="shared" si="0"/>
        <v>125.004383630129</v>
      </c>
      <c r="C11" s="33"/>
      <c r="D11" s="37">
        <f>IF(ISERROR(TER_onderwijs_gas_kWh/1000),0,TER_onderwijs_gas_kWh/1000)*0.902</f>
        <v>193.85066410535359</v>
      </c>
      <c r="E11" s="33">
        <f>$C$31*'E Balans VL '!I11/100/3.6*1000000</f>
        <v>1.8861148102735745</v>
      </c>
      <c r="F11" s="33">
        <f>$C$31*('E Balans VL '!L11+'E Balans VL '!N11)/100/3.6*1000000</f>
        <v>21.902765016437304</v>
      </c>
      <c r="G11" s="34"/>
      <c r="H11" s="33"/>
      <c r="I11" s="33"/>
      <c r="J11" s="33">
        <f>$C$31*('E Balans VL '!D11+'E Balans VL '!E11)/100/3.6*1000000</f>
        <v>0</v>
      </c>
      <c r="K11" s="33"/>
      <c r="L11" s="33"/>
      <c r="M11" s="33"/>
      <c r="N11" s="33">
        <f>$C$31*'E Balans VL '!Y11/100/3.6*1000000</f>
        <v>0.35177183873032603</v>
      </c>
      <c r="O11" s="33"/>
      <c r="P11" s="33"/>
      <c r="R11" s="32"/>
    </row>
    <row r="12" spans="1:18">
      <c r="A12" s="32" t="s">
        <v>254</v>
      </c>
      <c r="B12" s="37">
        <f t="shared" si="0"/>
        <v>2417.9325308284097</v>
      </c>
      <c r="C12" s="33"/>
      <c r="D12" s="37">
        <f>IF(ISERROR(TER_rest_gas_kWh/1000),0,TER_rest_gas_kWh/1000)*0.902</f>
        <v>5418.9159791149777</v>
      </c>
      <c r="E12" s="33">
        <f>$C$32*'E Balans VL '!I8/100/3.6*1000000</f>
        <v>30.02584352325394</v>
      </c>
      <c r="F12" s="33">
        <f>$C$32*('E Balans VL '!L8+'E Balans VL '!N8)/100/3.6*1000000</f>
        <v>418.12025093541774</v>
      </c>
      <c r="G12" s="34"/>
      <c r="H12" s="33"/>
      <c r="I12" s="33"/>
      <c r="J12" s="33">
        <f>$C$32*('E Balans VL '!D8+'E Balans VL '!E8)/100/3.6*1000000</f>
        <v>5.8550846435991531E-3</v>
      </c>
      <c r="K12" s="33"/>
      <c r="L12" s="33"/>
      <c r="M12" s="33"/>
      <c r="N12" s="33">
        <f>$C$32*'E Balans VL '!Y8/100/3.6*1000000</f>
        <v>234.12998974405133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9628.659396967334</v>
      </c>
      <c r="C16" s="21">
        <f t="shared" ca="1" si="1"/>
        <v>0</v>
      </c>
      <c r="D16" s="21">
        <f t="shared" ca="1" si="1"/>
        <v>10527.602335045025</v>
      </c>
      <c r="E16" s="21">
        <f t="shared" si="1"/>
        <v>135.97243290129137</v>
      </c>
      <c r="F16" s="21">
        <f t="shared" ca="1" si="1"/>
        <v>1676.7080766396889</v>
      </c>
      <c r="G16" s="21">
        <f t="shared" si="1"/>
        <v>0</v>
      </c>
      <c r="H16" s="21">
        <f t="shared" si="1"/>
        <v>0</v>
      </c>
      <c r="I16" s="21">
        <f t="shared" si="1"/>
        <v>0</v>
      </c>
      <c r="J16" s="21">
        <f t="shared" si="1"/>
        <v>2.7370656976390031E-2</v>
      </c>
      <c r="K16" s="21">
        <f t="shared" si="1"/>
        <v>0</v>
      </c>
      <c r="L16" s="21">
        <f t="shared" ca="1" si="1"/>
        <v>0</v>
      </c>
      <c r="M16" s="21">
        <f t="shared" si="1"/>
        <v>0</v>
      </c>
      <c r="N16" s="21">
        <f t="shared" ca="1" si="1"/>
        <v>1086.0062745342004</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0.20283305359326156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1953.0103874963368</v>
      </c>
      <c r="C20" s="23">
        <f t="shared" ref="C20:P20" ca="1" si="2">C16*C18</f>
        <v>0</v>
      </c>
      <c r="D20" s="23">
        <f t="shared" ca="1" si="2"/>
        <v>2126.5756716790952</v>
      </c>
      <c r="E20" s="23">
        <f t="shared" si="2"/>
        <v>30.865742268593142</v>
      </c>
      <c r="F20" s="23">
        <f t="shared" ca="1" si="2"/>
        <v>447.68105646279696</v>
      </c>
      <c r="G20" s="23">
        <f t="shared" si="2"/>
        <v>0</v>
      </c>
      <c r="H20" s="23">
        <f t="shared" si="2"/>
        <v>0</v>
      </c>
      <c r="I20" s="23">
        <f t="shared" si="2"/>
        <v>0</v>
      </c>
      <c r="J20" s="23">
        <f t="shared" si="2"/>
        <v>9.6892125696420705E-3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2114.6701718407703</v>
      </c>
      <c r="C26" s="39">
        <f>IF(ISERROR(B26*3.6/1000000/'E Balans VL '!Z12*100),0,B26*3.6/1000000/'E Balans VL '!Z12*100)</f>
        <v>4.4700777524572632E-2</v>
      </c>
      <c r="D26" s="233" t="s">
        <v>732</v>
      </c>
      <c r="F26" s="6"/>
    </row>
    <row r="27" spans="1:18">
      <c r="A27" s="228" t="s">
        <v>52</v>
      </c>
      <c r="B27" s="33">
        <f>IF(ISERROR(TER_horeca_ele_kWh/1000),0,TER_horeca_ele_kWh/1000)</f>
        <v>1439.2939933247799</v>
      </c>
      <c r="C27" s="39">
        <f>IF(ISERROR(B27*3.6/1000000/'E Balans VL '!Z9*100),0,B27*3.6/1000000/'E Balans VL '!Z9*100)</f>
        <v>0.11345900904153421</v>
      </c>
      <c r="D27" s="233" t="s">
        <v>732</v>
      </c>
      <c r="F27" s="6"/>
    </row>
    <row r="28" spans="1:18">
      <c r="A28" s="168" t="s">
        <v>51</v>
      </c>
      <c r="B28" s="33">
        <f>IF(ISERROR(TER_handel_ele_kWh/1000),0,TER_handel_ele_kWh/1000)</f>
        <v>2267.3958068356797</v>
      </c>
      <c r="C28" s="39">
        <f>IF(ISERROR(B28*3.6/1000000/'E Balans VL '!Z13*100),0,B28*3.6/1000000/'E Balans VL '!Z13*100)</f>
        <v>6.5808987620011264E-2</v>
      </c>
      <c r="D28" s="233" t="s">
        <v>732</v>
      </c>
      <c r="F28" s="6"/>
    </row>
    <row r="29" spans="1:18">
      <c r="A29" s="228" t="s">
        <v>50</v>
      </c>
      <c r="B29" s="33">
        <f>IF(ISERROR(TER_gezond_ele_kWh/1000),0,TER_gezond_ele_kWh/1000)</f>
        <v>273.139211528435</v>
      </c>
      <c r="C29" s="39">
        <f>IF(ISERROR(B29*3.6/1000000/'E Balans VL '!Z10*100),0,B29*3.6/1000000/'E Balans VL '!Z10*100)</f>
        <v>2.8766044038185862E-2</v>
      </c>
      <c r="D29" s="233" t="s">
        <v>732</v>
      </c>
      <c r="F29" s="6"/>
    </row>
    <row r="30" spans="1:18">
      <c r="A30" s="228" t="s">
        <v>49</v>
      </c>
      <c r="B30" s="33">
        <f>IF(ISERROR(TER_ander_ele_kWh/1000),0,TER_ander_ele_kWh/1000)</f>
        <v>991.22329897913107</v>
      </c>
      <c r="C30" s="39">
        <f>IF(ISERROR(B30*3.6/1000000/'E Balans VL '!Z14*100),0,B30*3.6/1000000/'E Balans VL '!Z14*100)</f>
        <v>7.3112845825330314E-2</v>
      </c>
      <c r="D30" s="233" t="s">
        <v>732</v>
      </c>
      <c r="F30" s="6"/>
    </row>
    <row r="31" spans="1:18">
      <c r="A31" s="228" t="s">
        <v>54</v>
      </c>
      <c r="B31" s="33">
        <f>IF(ISERROR(TER_onderwijs_ele_kWh/1000),0,TER_onderwijs_ele_kWh/1000)</f>
        <v>125.004383630129</v>
      </c>
      <c r="C31" s="39">
        <f>IF(ISERROR(B31*3.6/1000000/'E Balans VL '!Z11*100),0,B31*3.6/1000000/'E Balans VL '!Z11*100)</f>
        <v>3.1044444005535674E-2</v>
      </c>
      <c r="D31" s="233" t="s">
        <v>732</v>
      </c>
    </row>
    <row r="32" spans="1:18">
      <c r="A32" s="228" t="s">
        <v>254</v>
      </c>
      <c r="B32" s="33">
        <f>IF(ISERROR(TER_rest_ele_kWh/1000),0,TER_rest_ele_kWh/1000)</f>
        <v>2417.9325308284097</v>
      </c>
      <c r="C32" s="39">
        <f>IF(ISERROR(B32*3.6/1000000/'E Balans VL '!Z8*100),0,B32*3.6/1000000/'E Balans VL '!Z8*100)</f>
        <v>1.9896375249535164E-2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4395.1674149434675</v>
      </c>
      <c r="C5" s="17">
        <f>IF(ISERROR('Eigen informatie GS &amp; warmtenet'!B59),0,'Eigen informatie GS &amp; warmtenet'!B59)</f>
        <v>0</v>
      </c>
      <c r="D5" s="30">
        <f>SUM(D6:D15)</f>
        <v>3604.2981414123283</v>
      </c>
      <c r="E5" s="17">
        <f>SUM(E6:E15)</f>
        <v>501.21274825387422</v>
      </c>
      <c r="F5" s="17">
        <f>SUM(F6:F15)</f>
        <v>1531.915557085455</v>
      </c>
      <c r="G5" s="18"/>
      <c r="H5" s="17"/>
      <c r="I5" s="17"/>
      <c r="J5" s="17">
        <f>SUM(J6:J15)</f>
        <v>9.9073564847569262</v>
      </c>
      <c r="K5" s="17"/>
      <c r="L5" s="17"/>
      <c r="M5" s="17"/>
      <c r="N5" s="17">
        <f>SUM(N6:N15)</f>
        <v>314.84367623413874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53.713387892338098</v>
      </c>
      <c r="C8" s="33"/>
      <c r="D8" s="37">
        <f>IF( ISERROR(IND_metaal_Gas_kWH/1000),0,IND_metaal_Gas_kWH/1000)*0.902</f>
        <v>64.518637908614465</v>
      </c>
      <c r="E8" s="33">
        <f>C30*'E Balans VL '!I18/100/3.6*1000000</f>
        <v>0.49384272478667168</v>
      </c>
      <c r="F8" s="33">
        <f>C30*'E Balans VL '!L18/100/3.6*1000000+C30*'E Balans VL '!N18/100/3.6*1000000</f>
        <v>5.0365274845984827</v>
      </c>
      <c r="G8" s="34"/>
      <c r="H8" s="33"/>
      <c r="I8" s="33"/>
      <c r="J8" s="40">
        <f>C30*'E Balans VL '!D18/100/3.6*1000000+C30*'E Balans VL '!E18/100/3.6*1000000</f>
        <v>0</v>
      </c>
      <c r="K8" s="33"/>
      <c r="L8" s="33"/>
      <c r="M8" s="33"/>
      <c r="N8" s="33">
        <f>C30*'E Balans VL '!Y18/100/3.6*1000000</f>
        <v>0.76631024339568687</v>
      </c>
      <c r="O8" s="33"/>
      <c r="P8" s="33"/>
      <c r="R8" s="32"/>
    </row>
    <row r="9" spans="1:18">
      <c r="A9" s="6" t="s">
        <v>32</v>
      </c>
      <c r="B9" s="37">
        <f t="shared" si="0"/>
        <v>1187.38092413923</v>
      </c>
      <c r="C9" s="33"/>
      <c r="D9" s="37">
        <f>IF( ISERROR(IND_andere_gas_kWh/1000),0,IND_andere_gas_kWh/1000)*0.902</f>
        <v>751.22967401977075</v>
      </c>
      <c r="E9" s="33">
        <f>C31*'E Balans VL '!I19/100/3.6*1000000</f>
        <v>347.09455970602295</v>
      </c>
      <c r="F9" s="33">
        <f>C31*'E Balans VL '!L19/100/3.6*1000000+C31*'E Balans VL '!N19/100/3.6*1000000</f>
        <v>954.1504490234455</v>
      </c>
      <c r="G9" s="34"/>
      <c r="H9" s="33"/>
      <c r="I9" s="33"/>
      <c r="J9" s="40">
        <f>C31*'E Balans VL '!D19/100/3.6*1000000+C31*'E Balans VL '!E19/100/3.6*1000000</f>
        <v>0</v>
      </c>
      <c r="K9" s="33"/>
      <c r="L9" s="33"/>
      <c r="M9" s="33"/>
      <c r="N9" s="33">
        <f>C31*'E Balans VL '!Y19/100/3.6*1000000</f>
        <v>93.136547025673039</v>
      </c>
      <c r="O9" s="33"/>
      <c r="P9" s="33"/>
      <c r="R9" s="32"/>
    </row>
    <row r="10" spans="1:18">
      <c r="A10" s="6" t="s">
        <v>40</v>
      </c>
      <c r="B10" s="37">
        <f t="shared" si="0"/>
        <v>386.64039083724998</v>
      </c>
      <c r="C10" s="33"/>
      <c r="D10" s="37">
        <f>IF( ISERROR(IND_voed_gas_kWh/1000),0,IND_voed_gas_kWh/1000)*0.902</f>
        <v>0</v>
      </c>
      <c r="E10" s="33">
        <f>C32*'E Balans VL '!I20/100/3.6*1000000</f>
        <v>0.81794374174646534</v>
      </c>
      <c r="F10" s="33">
        <f>C32*'E Balans VL '!L20/100/3.6*1000000+C32*'E Balans VL '!N20/100/3.6*1000000</f>
        <v>24.582990991010107</v>
      </c>
      <c r="G10" s="34"/>
      <c r="H10" s="33"/>
      <c r="I10" s="33"/>
      <c r="J10" s="40">
        <f>C32*'E Balans VL '!D20/100/3.6*1000000+C32*'E Balans VL '!E20/100/3.6*1000000</f>
        <v>0</v>
      </c>
      <c r="K10" s="33"/>
      <c r="L10" s="33"/>
      <c r="M10" s="33"/>
      <c r="N10" s="33">
        <f>C32*'E Balans VL '!Y20/100/3.6*1000000</f>
        <v>26.682002428376212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2767.4327120746498</v>
      </c>
      <c r="C15" s="33"/>
      <c r="D15" s="37">
        <f>IF( ISERROR(IND_rest_gas_kWh/1000),0,IND_rest_gas_kWh/1000)*0.902</f>
        <v>2788.5498294839431</v>
      </c>
      <c r="E15" s="33">
        <f>C37*'E Balans VL '!I15/100/3.6*1000000</f>
        <v>152.80640208131817</v>
      </c>
      <c r="F15" s="33">
        <f>C37*'E Balans VL '!L15/100/3.6*1000000+C37*'E Balans VL '!N15/100/3.6*1000000</f>
        <v>548.14558958640089</v>
      </c>
      <c r="G15" s="34"/>
      <c r="H15" s="33"/>
      <c r="I15" s="33"/>
      <c r="J15" s="40">
        <f>C37*'E Balans VL '!D15/100/3.6*1000000+C37*'E Balans VL '!E15/100/3.6*1000000</f>
        <v>9.9073564847569262</v>
      </c>
      <c r="K15" s="33"/>
      <c r="L15" s="33"/>
      <c r="M15" s="33"/>
      <c r="N15" s="33">
        <f>C37*'E Balans VL '!Y15/100/3.6*1000000</f>
        <v>194.25881653669379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4395.1674149434675</v>
      </c>
      <c r="C18" s="21">
        <f>C5+C16</f>
        <v>0</v>
      </c>
      <c r="D18" s="21">
        <f>MAX((D5+D16),0)</f>
        <v>3604.2981414123283</v>
      </c>
      <c r="E18" s="21">
        <f>MAX((E5+E16),0)</f>
        <v>501.21274825387422</v>
      </c>
      <c r="F18" s="21">
        <f>MAX((F5+F16),0)</f>
        <v>1531.915557085455</v>
      </c>
      <c r="G18" s="21"/>
      <c r="H18" s="21"/>
      <c r="I18" s="21"/>
      <c r="J18" s="21">
        <f>MAX((J5+J16),0)</f>
        <v>9.9073564847569262</v>
      </c>
      <c r="K18" s="21"/>
      <c r="L18" s="21">
        <f>MAX((L5+L16),0)</f>
        <v>0</v>
      </c>
      <c r="M18" s="21"/>
      <c r="N18" s="21">
        <f>MAX((N5+N16),0)</f>
        <v>314.84367623413874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0.20283305359326156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891.48522782658529</v>
      </c>
      <c r="C22" s="23">
        <f ca="1">C18*C20</f>
        <v>0</v>
      </c>
      <c r="D22" s="23">
        <f>D18*D20</f>
        <v>728.06822456529039</v>
      </c>
      <c r="E22" s="23">
        <f>E18*E20</f>
        <v>113.77529385362945</v>
      </c>
      <c r="F22" s="23">
        <f>F18*F20</f>
        <v>409.02145374181652</v>
      </c>
      <c r="G22" s="23"/>
      <c r="H22" s="23"/>
      <c r="I22" s="23"/>
      <c r="J22" s="23">
        <f>J18*J20</f>
        <v>3.5072041956039519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53.713387892338098</v>
      </c>
      <c r="C30" s="39">
        <f>IF(ISERROR(B30*3.6/1000000/'E Balans VL '!Z18*100),0,B30*3.6/1000000/'E Balans VL '!Z18*100)</f>
        <v>3.0440754219935732E-3</v>
      </c>
      <c r="D30" s="233" t="s">
        <v>732</v>
      </c>
    </row>
    <row r="31" spans="1:18">
      <c r="A31" s="6" t="s">
        <v>32</v>
      </c>
      <c r="B31" s="37">
        <f>IF( ISERROR(IND_ander_ele_kWh/1000),0,IND_ander_ele_kWh/1000)</f>
        <v>1187.38092413923</v>
      </c>
      <c r="C31" s="39">
        <f>IF(ISERROR(B31*3.6/1000000/'E Balans VL '!Z19*100),0,B31*3.6/1000000/'E Balans VL '!Z19*100)</f>
        <v>5.3854654550839091E-2</v>
      </c>
      <c r="D31" s="233" t="s">
        <v>732</v>
      </c>
    </row>
    <row r="32" spans="1:18">
      <c r="A32" s="168" t="s">
        <v>40</v>
      </c>
      <c r="B32" s="37">
        <f>IF( ISERROR(IND_voed_ele_kWh/1000),0,IND_voed_ele_kWh/1000)</f>
        <v>386.64039083724998</v>
      </c>
      <c r="C32" s="39">
        <f>IF(ISERROR(B32*3.6/1000000/'E Balans VL '!Z20*100),0,B32*3.6/1000000/'E Balans VL '!Z20*100)</f>
        <v>1.1960542487769434E-2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2767.4327120746498</v>
      </c>
      <c r="C37" s="39">
        <f>IF(ISERROR(B37*3.6/1000000/'E Balans VL '!Z15*100),0,B37*3.6/1000000/'E Balans VL '!Z15*100)</f>
        <v>2.1935302973797664E-2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2436.2607569687561</v>
      </c>
      <c r="C5" s="17">
        <f>'Eigen informatie GS &amp; warmtenet'!B60</f>
        <v>0</v>
      </c>
      <c r="D5" s="30">
        <f>IF(ISERROR(SUM(LB_lb_gas_kWh,LB_rest_gas_kWh)/1000),0,SUM(LB_lb_gas_kWh,LB_rest_gas_kWh)/1000)*0.902</f>
        <v>312.08341326223592</v>
      </c>
      <c r="E5" s="17">
        <f>B17*'E Balans VL '!I25/3.6*1000000/100</f>
        <v>71.609144846537887</v>
      </c>
      <c r="F5" s="17">
        <f>B17*('E Balans VL '!L25/3.6*1000000+'E Balans VL '!N25/3.6*1000000)/100</f>
        <v>10149.330664910462</v>
      </c>
      <c r="G5" s="18"/>
      <c r="H5" s="17"/>
      <c r="I5" s="17"/>
      <c r="J5" s="17">
        <f>('E Balans VL '!D25+'E Balans VL '!E25)/3.6*1000000*landbouw!B17/100</f>
        <v>352.96186438612381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2436.2607569687561</v>
      </c>
      <c r="C8" s="21">
        <f>C5+C6</f>
        <v>0</v>
      </c>
      <c r="D8" s="21">
        <f>MAX((D5+D6),0)</f>
        <v>312.08341326223592</v>
      </c>
      <c r="E8" s="21">
        <f>MAX((E5+E6),0)</f>
        <v>71.609144846537887</v>
      </c>
      <c r="F8" s="21">
        <f>MAX((F5+F6),0)</f>
        <v>10149.330664910462</v>
      </c>
      <c r="G8" s="21"/>
      <c r="H8" s="21"/>
      <c r="I8" s="21"/>
      <c r="J8" s="21">
        <f>MAX((J5+J6),0)</f>
        <v>352.96186438612381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0.20283305359326156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494.15420868540372</v>
      </c>
      <c r="C12" s="23">
        <f ca="1">C8*C10</f>
        <v>0</v>
      </c>
      <c r="D12" s="23">
        <f>D8*D10</f>
        <v>63.040849478971658</v>
      </c>
      <c r="E12" s="23">
        <f>E8*E10</f>
        <v>16.255275880164103</v>
      </c>
      <c r="F12" s="23">
        <f>F8*F10</f>
        <v>2709.8712875310935</v>
      </c>
      <c r="G12" s="23"/>
      <c r="H12" s="23"/>
      <c r="I12" s="23"/>
      <c r="J12" s="23">
        <f>J8*J10</f>
        <v>124.94849999268781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0.34571304494888744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303.52622110970543</v>
      </c>
      <c r="C26" s="243">
        <f>B26*'GWP N2O_CH4'!B5</f>
        <v>6374.0506433038145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83.209383091961726</v>
      </c>
      <c r="C27" s="243">
        <f>B27*'GWP N2O_CH4'!B5</f>
        <v>1747.3970449311962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4.4697485957792606</v>
      </c>
      <c r="C28" s="243">
        <f>B28*'GWP N2O_CH4'!B4</f>
        <v>1385.6220646915708</v>
      </c>
      <c r="D28" s="50"/>
    </row>
    <row r="29" spans="1:4">
      <c r="A29" s="41" t="s">
        <v>271</v>
      </c>
      <c r="B29" s="243">
        <f>B34*'ha_N2O bodem landbouw'!B4</f>
        <v>16.321619692263145</v>
      </c>
      <c r="C29" s="243">
        <f>B29*'GWP N2O_CH4'!B4</f>
        <v>5059.7021046015752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3.7245373669707337E-3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2.0881145312172663E-4</v>
      </c>
      <c r="C5" s="431" t="s">
        <v>210</v>
      </c>
      <c r="D5" s="416">
        <f>SUM(D6:D11)</f>
        <v>3.8111952466006715E-4</v>
      </c>
      <c r="E5" s="416">
        <f>SUM(E6:E11)</f>
        <v>6.59023977628011E-4</v>
      </c>
      <c r="F5" s="429" t="s">
        <v>210</v>
      </c>
      <c r="G5" s="416">
        <f>SUM(G6:G11)</f>
        <v>0.26987217503455885</v>
      </c>
      <c r="H5" s="416">
        <f>SUM(H6:H11)</f>
        <v>6.1061768759662391E-2</v>
      </c>
      <c r="I5" s="431" t="s">
        <v>210</v>
      </c>
      <c r="J5" s="431" t="s">
        <v>210</v>
      </c>
      <c r="K5" s="431" t="s">
        <v>210</v>
      </c>
      <c r="L5" s="431" t="s">
        <v>210</v>
      </c>
      <c r="M5" s="416">
        <f>SUM(M6:M11)</f>
        <v>1.7565082150398061E-2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1.345587374585684E-4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2.2621689972842472E-4</v>
      </c>
      <c r="E6" s="859">
        <f>vkm_GW_PW*SUMIFS(TableVerdeelsleutelVkm[LPG],TableVerdeelsleutelVkm[Voertuigtype],"Lichte voertuigen")*SUMIFS(TableECFTransport[EnergieConsumptieFactor (PJ per km)],TableECFTransport[Index],CONCATENATE($A6,"_LPG_LPG"))</f>
        <v>3.980305730270111E-4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0.11809451857966506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3.6548417353445932E-2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7.9757398015174556E-3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2.0755542447650466E-6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6.6667671174641355E-2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1.0877221704405443E-6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3.8950949469047425E-3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7.1859310338995839E-5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1.5490262493164243E-4</v>
      </c>
      <c r="E8" s="419">
        <f>vkm_NGW_PW*SUMIFS(TableVerdeelsleutelVkm[LPG],TableVerdeelsleutelVkm[Voertuigtype],"Lichte voertuigen")*SUMIFS(TableECFTransport[EnergieConsumptieFactor (PJ per km)],TableECFTransport[Index],CONCATENATE($A8,"_LPG_LPG"))</f>
        <v>2.6099340460099984E-4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7.2010508372931326E-2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2.4512062624809421E-2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4.9289037121821753E-3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3.1785107939734956E-7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1.3099476907321128E-2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2.0105923660334491E-7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7.6534368979368911E-4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58.003181422701843</v>
      </c>
      <c r="C14" s="21"/>
      <c r="D14" s="21">
        <f t="shared" ref="D14:M14" si="0">((D5)*10^9/3600)+D12</f>
        <v>105.86653462779644</v>
      </c>
      <c r="E14" s="21">
        <f t="shared" si="0"/>
        <v>183.06221600778085</v>
      </c>
      <c r="F14" s="21"/>
      <c r="G14" s="21">
        <f t="shared" si="0"/>
        <v>74964.493065155228</v>
      </c>
      <c r="H14" s="21">
        <f t="shared" si="0"/>
        <v>16961.602433239554</v>
      </c>
      <c r="I14" s="21"/>
      <c r="J14" s="21"/>
      <c r="K14" s="21"/>
      <c r="L14" s="21"/>
      <c r="M14" s="21">
        <f t="shared" si="0"/>
        <v>4879.1894862216832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0.20283305359326156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11.764962406090557</v>
      </c>
      <c r="C18" s="23"/>
      <c r="D18" s="23">
        <f t="shared" ref="D18:M18" si="1">D14*D16</f>
        <v>21.385039994814882</v>
      </c>
      <c r="E18" s="23">
        <f t="shared" si="1"/>
        <v>41.55512303376625</v>
      </c>
      <c r="F18" s="23"/>
      <c r="G18" s="23">
        <f t="shared" si="1"/>
        <v>20015.519648396446</v>
      </c>
      <c r="H18" s="23">
        <f t="shared" si="1"/>
        <v>4223.4390058766485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2.3574554982946079E-5</v>
      </c>
      <c r="C50" s="313">
        <f t="shared" ref="C50:P50" si="2">SUM(C51:C52)</f>
        <v>0</v>
      </c>
      <c r="D50" s="313">
        <f t="shared" si="2"/>
        <v>0</v>
      </c>
      <c r="E50" s="313">
        <f t="shared" si="2"/>
        <v>0</v>
      </c>
      <c r="F50" s="313">
        <f t="shared" si="2"/>
        <v>0</v>
      </c>
      <c r="G50" s="313">
        <f t="shared" si="2"/>
        <v>2.2145954420629862E-3</v>
      </c>
      <c r="H50" s="313">
        <f t="shared" si="2"/>
        <v>0</v>
      </c>
      <c r="I50" s="313">
        <f t="shared" si="2"/>
        <v>0</v>
      </c>
      <c r="J50" s="313">
        <f t="shared" si="2"/>
        <v>0</v>
      </c>
      <c r="K50" s="313">
        <f t="shared" si="2"/>
        <v>0</v>
      </c>
      <c r="L50" s="313">
        <f t="shared" si="2"/>
        <v>0</v>
      </c>
      <c r="M50" s="313">
        <f t="shared" si="2"/>
        <v>1.2753190215010154E-4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2.3574554982946079E-5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2.2145954420629862E-3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1.2753190215010154E-4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6.5484874952628003</v>
      </c>
      <c r="C54" s="21">
        <f t="shared" ref="C54:P54" si="3">(C50)*10^9/3600</f>
        <v>0</v>
      </c>
      <c r="D54" s="21">
        <f t="shared" si="3"/>
        <v>0</v>
      </c>
      <c r="E54" s="21">
        <f t="shared" si="3"/>
        <v>0</v>
      </c>
      <c r="F54" s="21">
        <f t="shared" si="3"/>
        <v>0</v>
      </c>
      <c r="G54" s="21">
        <f t="shared" si="3"/>
        <v>615.16540057305167</v>
      </c>
      <c r="H54" s="21">
        <f t="shared" si="3"/>
        <v>0</v>
      </c>
      <c r="I54" s="21">
        <f t="shared" si="3"/>
        <v>0</v>
      </c>
      <c r="J54" s="21">
        <f t="shared" si="3"/>
        <v>0</v>
      </c>
      <c r="K54" s="21">
        <f t="shared" si="3"/>
        <v>0</v>
      </c>
      <c r="L54" s="21">
        <f t="shared" si="3"/>
        <v>0</v>
      </c>
      <c r="M54" s="21">
        <f t="shared" si="3"/>
        <v>35.425528375028208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0.20283305359326156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1.3282497150814427</v>
      </c>
      <c r="C58" s="23">
        <f t="shared" ref="C58:P58" ca="1" si="4">C54*C56</f>
        <v>0</v>
      </c>
      <c r="D58" s="23">
        <f t="shared" si="4"/>
        <v>0</v>
      </c>
      <c r="E58" s="23">
        <f t="shared" si="4"/>
        <v>0</v>
      </c>
      <c r="F58" s="23">
        <f t="shared" si="4"/>
        <v>0</v>
      </c>
      <c r="G58" s="23">
        <f t="shared" si="4"/>
        <v>164.2491619530048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3753.6580691763702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3753.6580691763702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2021-06-29T15:44:40Z</dcterms:modified>
</cp:coreProperties>
</file>