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51" i="18"/>
  <c r="V51" i="18"/>
  <c r="U51" i="18"/>
  <c r="T51" i="18"/>
  <c r="S51" i="18"/>
  <c r="R51" i="18"/>
  <c r="Q51" i="18"/>
  <c r="P51" i="18"/>
  <c r="O51" i="18"/>
  <c r="N51" i="18"/>
  <c r="M51" i="18"/>
  <c r="W50" i="18"/>
  <c r="V50" i="18"/>
  <c r="U50" i="18"/>
  <c r="T50" i="18"/>
  <c r="S50" i="18"/>
  <c r="R50" i="18"/>
  <c r="Q50" i="18"/>
  <c r="P50" i="18"/>
  <c r="O50" i="18"/>
  <c r="N50" i="18"/>
  <c r="M50" i="18"/>
  <c r="W49" i="18"/>
  <c r="V49" i="18"/>
  <c r="U49" i="18"/>
  <c r="T49" i="18"/>
  <c r="S49" i="18"/>
  <c r="R49" i="18"/>
  <c r="Q49" i="18"/>
  <c r="P49" i="18"/>
  <c r="O49" i="18"/>
  <c r="N49" i="18"/>
  <c r="M49" i="18"/>
  <c r="W48" i="18"/>
  <c r="V48" i="18"/>
  <c r="U48" i="18"/>
  <c r="T48" i="18"/>
  <c r="I9" i="18" s="1"/>
  <c r="S48" i="18"/>
  <c r="E9" i="18" s="1"/>
  <c r="R48" i="18"/>
  <c r="Q48" i="18"/>
  <c r="P48" i="18"/>
  <c r="C9" i="18" s="1"/>
  <c r="O48" i="18"/>
  <c r="N48" i="18"/>
  <c r="B9" i="18" s="1"/>
  <c r="M48" i="18"/>
  <c r="W44" i="18"/>
  <c r="V44" i="18"/>
  <c r="U44" i="18"/>
  <c r="L6" i="17" s="1"/>
  <c r="T44" i="18"/>
  <c r="S44" i="18"/>
  <c r="R44" i="18"/>
  <c r="Q44" i="18"/>
  <c r="P44" i="18"/>
  <c r="O44" i="18"/>
  <c r="C6" i="17" s="1"/>
  <c r="N44" i="18"/>
  <c r="M44" i="18"/>
  <c r="W43" i="18"/>
  <c r="V43" i="18"/>
  <c r="U43" i="18"/>
  <c r="T43" i="18"/>
  <c r="S43" i="18"/>
  <c r="R43" i="18"/>
  <c r="Q43" i="18"/>
  <c r="P43" i="18"/>
  <c r="D13" i="15" s="1"/>
  <c r="O43" i="18"/>
  <c r="C13" i="15" s="1"/>
  <c r="N43" i="18"/>
  <c r="M43" i="18"/>
  <c r="W42" i="18"/>
  <c r="V42" i="18"/>
  <c r="U42" i="18"/>
  <c r="T42" i="18"/>
  <c r="S42" i="18"/>
  <c r="R42" i="18"/>
  <c r="Q42" i="18"/>
  <c r="P42" i="18"/>
  <c r="O42" i="18"/>
  <c r="N42" i="18"/>
  <c r="M42" i="18"/>
  <c r="W41" i="18"/>
  <c r="V41" i="18"/>
  <c r="U41" i="18"/>
  <c r="T41" i="18"/>
  <c r="S41" i="18"/>
  <c r="R41" i="18"/>
  <c r="Q41" i="18"/>
  <c r="P41" i="18"/>
  <c r="O41" i="18"/>
  <c r="N41" i="18"/>
  <c r="C57" i="18" s="1"/>
  <c r="M41"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57"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60" i="18"/>
  <c r="H8" i="18" s="1"/>
  <c r="E60" i="18"/>
  <c r="E8" i="18" s="1"/>
  <c r="G60" i="18"/>
  <c r="F60" i="18"/>
  <c r="H60" i="18"/>
  <c r="D60" i="18"/>
  <c r="C60" i="18"/>
  <c r="B60" i="18"/>
  <c r="C8" i="18" s="1"/>
  <c r="I61" i="18"/>
  <c r="H17" i="18" s="1"/>
  <c r="E61" i="18"/>
  <c r="E17" i="18" s="1"/>
  <c r="C61" i="18"/>
  <c r="B61" i="18"/>
  <c r="C17" i="18" s="1"/>
  <c r="H61" i="18"/>
  <c r="D61" i="18"/>
  <c r="G61" i="18"/>
  <c r="F6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<sst xmlns="http://schemas.openxmlformats.org/spreadsheetml/2006/main" count="2599" uniqueCount="957">
  <si>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</si>
  <si>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</si>
  <si>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</si>
  <si>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</si>
  <si>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</si>
  <si>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</si>
  <si>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</si>
  <si>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</si>
  <si>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</si>
  <si>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</si>
  <si>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</si>
  <si>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</si>
  <si>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</si>
  <si>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</si>
  <si>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</si>
  <si>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</si>
  <si>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</si>
  <si>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</si>
  <si>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</si>
  <si>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</si>
  <si>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</si>
  <si>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</si>
  <si>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</si>
  <si>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</si>
  <si>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</si>
  <si>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</si>
  <si>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</si>
  <si>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</si>
  <si>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</si>
  <si>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</si>
  <si>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</si>
  <si>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</si>
  <si>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</si>
  <si>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</si>
  <si>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</si>
  <si>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</si>
  <si>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</si>
  <si>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</si>
  <si>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</si>
  <si>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</si>
  <si>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</si>
  <si>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</si>
  <si>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</si>
  <si>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</si>
  <si>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</si>
  <si>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</si>
  <si>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</si>
  <si>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</si>
  <si>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</si>
  <si>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</si>
  <si>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</si>
  <si>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</si>
  <si>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</si>
  <si>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</si>
  <si>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</si>
  <si>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</si>
  <si>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</si>
  <si>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</si>
  <si>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</si>
  <si>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</si>
  <si>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</si>
  <si>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</si>
  <si>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</si>
  <si>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</si>
  <si>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</si>
  <si>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</si>
  <si>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</si>
  <si>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</si>
  <si>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</si>
  <si>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</si>
  <si>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</si>
  <si>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</si>
  <si>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</si>
  <si>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</si>
  <si>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</si>
  <si>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</si>
  <si>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</si>
  <si>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</si>
  <si>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</si>
  <si>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</si>
  <si>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</si>
  <si>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</si>
  <si>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</si>
  <si>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</si>
  <si>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</si>
  <si>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</si>
  <si>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</si>
  <si>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</si>
  <si>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</si>
  <si>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</si>
  <si>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</si>
  <si>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</si>
  <si>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</si>
  <si>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</si>
  <si>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</si>
  <si>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</si>
  <si>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</si>
  <si>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</si>
  <si>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</si>
  <si>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</si>
  <si>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</si>
  <si>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</si>
  <si>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</si>
  <si>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</si>
  <si>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</si>
  <si>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</si>
  <si>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</si>
  <si>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</si>
  <si>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</si>
  <si>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</si>
  <si>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</si>
  <si>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</si>
  <si>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</si>
  <si>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</si>
  <si>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</si>
  <si>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</si>
  <si>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</si>
  <si>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</si>
  <si>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</si>
  <si>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</si>
  <si>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</si>
  <si>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</si>
  <si>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</si>
  <si>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</si>
  <si>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</si>
  <si>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</si>
  <si>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</si>
  <si>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</si>
  <si>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</si>
  <si>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</si>
  <si>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</si>
  <si>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</si>
  <si>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</si>
  <si>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</si>
  <si>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</si>
  <si>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</si>
  <si>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</si>
  <si>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</si>
  <si>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</si>
  <si>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</si>
  <si>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</si>
  <si>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</si>
  <si>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</si>
  <si>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</si>
  <si>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</si>
  <si>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</si>
  <si>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</si>
  <si>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</si>
  <si>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</si>
  <si>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</si>
  <si>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</si>
  <si>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</si>
  <si>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</si>
  <si>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</si>
  <si>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</si>
  <si>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</si>
  <si>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</si>
  <si>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</si>
  <si>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</si>
  <si>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</si>
  <si>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</si>
  <si>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</si>
  <si>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</si>
  <si>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</si>
  <si>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</si>
  <si>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</si>
  <si>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</si>
  <si>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</si>
  <si>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</si>
  <si>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</si>
  <si>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</si>
  <si>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</si>
  <si>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</si>
  <si>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</si>
  <si>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</si>
  <si>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</si>
  <si>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</si>
  <si>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</si>
  <si>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</si>
  <si>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</si>
  <si>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</si>
  <si>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</si>
  <si>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</si>
  <si>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</si>
  <si>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</si>
  <si>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</si>
  <si>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</si>
  <si>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</si>
  <si>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</si>
  <si>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</si>
  <si>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</si>
  <si>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</si>
  <si>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</si>
  <si>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</si>
  <si>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</si>
  <si>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</si>
  <si>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</si>
  <si>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</si>
  <si>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</si>
  <si>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</si>
  <si>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</si>
  <si>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</si>
  <si>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</si>
  <si>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</si>
  <si>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</si>
  <si>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</si>
  <si>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</si>
  <si>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</si>
  <si>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</si>
  <si>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</si>
  <si>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</si>
  <si>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</si>
  <si>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</si>
  <si>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</si>
  <si>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</si>
  <si>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</si>
  <si>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</si>
  <si>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</si>
  <si>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</si>
  <si>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</si>
  <si>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</si>
  <si>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</si>
  <si>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</si>
  <si>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</si>
  <si>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</si>
  <si>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</si>
  <si>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</si>
  <si>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</si>
  <si>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</si>
  <si>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</si>
  <si>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</si>
  <si>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</si>
  <si>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</si>
  <si>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</si>
  <si>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</si>
  <si>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</si>
  <si>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</si>
  <si>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</si>
  <si>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</si>
  <si>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</si>
  <si>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</si>
  <si>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</si>
  <si>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</si>
  <si>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</si>
  <si>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</si>
  <si>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</si>
  <si>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</si>
  <si>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</si>
  <si>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</si>
  <si>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</si>
  <si>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</si>
  <si>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</si>
  <si>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</si>
  <si>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</si>
  <si>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</si>
  <si>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</si>
  <si>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</si>
  <si>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</si>
  <si>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</si>
  <si>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</si>
  <si>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</si>
  <si>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</si>
  <si>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</si>
  <si>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</si>
  <si>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</si>
  <si>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</si>
  <si>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</si>
  <si>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</si>
  <si>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</si>
  <si>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</si>
  <si>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</si>
  <si>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</si>
  <si>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</si>
  <si>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</si>
  <si>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</si>
  <si>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</si>
  <si>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</si>
  <si>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</si>
  <si>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</si>
  <si>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</si>
  <si>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</si>
  <si>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</si>
  <si>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</si>
  <si>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</si>
  <si>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</si>
  <si>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</si>
  <si>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</si>
  <si>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</si>
  <si>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</si>
  <si>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</si>
  <si>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</si>
  <si>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</si>
  <si>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</si>
  <si>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</si>
  <si>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</si>
  <si>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</si>
  <si>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</si>
  <si>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</si>
  <si>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</si>
  <si>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</si>
  <si>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</si>
  <si>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</si>
  <si>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</si>
  <si>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</si>
  <si>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</si>
  <si>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</si>
  <si>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</si>
  <si>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</si>
  <si>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</si>
  <si>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</si>
  <si>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</si>
  <si>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</si>
  <si>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</si>
  <si>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</si>
  <si>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</si>
  <si>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</si>
  <si>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</si>
  <si>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</si>
  <si>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</si>
  <si>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</si>
  <si>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</si>
  <si>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</si>
  <si>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</si>
  <si>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</si>
  <si>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</si>
  <si>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</si>
  <si>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</si>
  <si>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</si>
  <si>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</si>
  <si>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</si>
  <si>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</si>
  <si>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</si>
  <si>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</si>
  <si>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</si>
  <si>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</si>
  <si>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</si>
  <si>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</si>
  <si>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</si>
  <si>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</si>
  <si>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</si>
  <si>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</si>
  <si>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</si>
  <si>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</si>
  <si>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</si>
  <si>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</si>
  <si>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</si>
  <si>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</si>
  <si>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</si>
  <si>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</si>
  <si>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</si>
  <si>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</si>
  <si>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</si>
  <si>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</si>
  <si>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</si>
  <si>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</si>
  <si>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</si>
  <si>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</si>
  <si>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</si>
  <si>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</si>
  <si>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</si>
  <si>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</si>
  <si>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</si>
  <si>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</si>
  <si>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</si>
  <si>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</si>
  <si>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</si>
  <si>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</si>
  <si>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</si>
  <si>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</si>
  <si>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</si>
  <si>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</si>
  <si>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</si>
  <si>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</si>
  <si>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</si>
  <si>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</si>
  <si>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</si>
  <si>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</si>
  <si>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</si>
  <si>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</si>
  <si>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</si>
  <si>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</si>
  <si>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</si>
  <si>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</si>
  <si>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</si>
  <si>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</si>
  <si>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</si>
  <si>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</si>
  <si>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</si>
  <si>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</si>
  <si>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</si>
  <si>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</si>
  <si>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</si>
  <si>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</si>
  <si>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</si>
  <si>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</si>
  <si>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</si>
  <si>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</si>
  <si>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</si>
  <si>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</si>
  <si>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</si>
  <si>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</si>
  <si>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</si>
  <si>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</si>
  <si>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</si>
  <si>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</si>
  <si>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</si>
  <si>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</si>
  <si>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</si>
  <si>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</si>
  <si>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</si>
  <si>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</si>
  <si>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</si>
  <si>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</si>
  <si>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</si>
  <si>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</si>
  <si>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</si>
  <si>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</si>
  <si>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</si>
  <si>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</si>
  <si>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</si>
  <si>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</si>
  <si>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</si>
  <si>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</si>
  <si>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</si>
  <si>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</si>
  <si>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</si>
  <si>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</si>
  <si>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</si>
  <si>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</si>
  <si>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</si>
  <si>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</si>
  <si>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</si>
  <si>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</si>
  <si>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</si>
  <si>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</si>
  <si>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</si>
  <si>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</si>
  <si>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</si>
  <si>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</si>
  <si>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</si>
  <si>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</si>
  <si>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</si>
  <si>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</si>
  <si>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</si>
  <si>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</si>
  <si>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</si>
  <si>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</si>
  <si>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</si>
  <si>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</si>
  <si>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</si>
  <si>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</si>
  <si>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</si>
  <si>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</si>
  <si>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</si>
  <si>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</si>
  <si>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</si>
  <si>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</si>
  <si>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</si>
  <si>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</si>
  <si>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</si>
  <si>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</si>
  <si>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</si>
  <si>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</si>
  <si>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</si>
  <si>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</si>
  <si>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</si>
  <si>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</si>
  <si>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</si>
  <si>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</si>
  <si>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</si>
  <si>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</si>
  <si>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</si>
  <si>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</si>
  <si>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</si>
  <si>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</si>
  <si>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</si>
  <si>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</si>
  <si>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</si>
  <si>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</si>
  <si>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</si>
  <si>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</si>
  <si>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</si>
  <si>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</si>
  <si>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</si>
  <si>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</si>
  <si>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</si>
  <si>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</si>
  <si>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</si>
  <si>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</si>
  <si>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</si>
  <si>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</si>
  <si>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</si>
  <si>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</si>
  <si>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</si>
  <si>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</si>
  <si>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</si>
  <si>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</si>
  <si>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</si>
  <si>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</si>
  <si>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</si>
  <si>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</si>
  <si>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</si>
  <si>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</si>
  <si>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</si>
  <si>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</si>
  <si>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</si>
  <si>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</si>
  <si>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</si>
  <si>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</si>
  <si>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</si>
  <si>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</si>
  <si>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</si>
  <si>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</si>
  <si>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</si>
  <si>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</si>
  <si>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</si>
  <si>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</si>
  <si>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</si>
  <si>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</si>
  <si>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</si>
  <si>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</si>
  <si>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</si>
  <si>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</si>
  <si>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</si>
  <si>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</si>
  <si>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</si>
  <si>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</si>
  <si>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</si>
  <si>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</si>
  <si>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</si>
  <si>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</si>
  <si>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</si>
  <si>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</si>
  <si>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</si>
  <si>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</si>
  <si>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</si>
  <si>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</si>
  <si>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</si>
  <si>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</si>
  <si>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</si>
  <si>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</si>
  <si>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</si>
  <si>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</si>
  <si>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</si>
  <si>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</si>
  <si>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</si>
  <si>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</si>
  <si>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</si>
  <si>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</si>
  <si>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</si>
  <si>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</si>
  <si>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</si>
  <si>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</si>
  <si>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</si>
  <si>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</si>
  <si>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</si>
  <si>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</si>
  <si>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</si>
  <si>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</si>
  <si>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</si>
  <si>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</si>
  <si>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</si>
  <si>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</si>
  <si>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</si>
  <si>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</si>
  <si>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</si>
  <si>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</si>
  <si>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</si>
  <si>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</si>
  <si>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</si>
  <si>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</si>
  <si>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</si>
  <si>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</si>
  <si>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</si>
  <si>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</si>
  <si>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</si>
  <si>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</si>
  <si>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</si>
  <si>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</si>
  <si>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</si>
  <si>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</si>
  <si>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</si>
  <si>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</si>
  <si>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</si>
  <si>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</si>
  <si>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</si>
  <si>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</si>
  <si>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</si>
  <si>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</si>
  <si>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</si>
  <si>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</si>
  <si>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</si>
  <si>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</si>
  <si>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</si>
  <si>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</si>
  <si>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</si>
  <si>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</si>
  <si>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</si>
  <si>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</si>
  <si>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</si>
  <si>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</si>
  <si>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</si>
  <si>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</si>
  <si>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</si>
  <si>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</si>
  <si>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</si>
  <si>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</si>
  <si>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</si>
  <si>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</si>
  <si>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</si>
  <si>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</si>
  <si>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</si>
  <si>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</si>
  <si>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</si>
  <si>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</si>
  <si>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</si>
  <si>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</si>
  <si>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</si>
  <si>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</si>
  <si>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</si>
  <si>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</si>
  <si>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</si>
  <si>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</si>
  <si>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</si>
  <si>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</si>
  <si>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</si>
  <si>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</si>
  <si>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</si>
  <si>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</si>
  <si>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</si>
  <si>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</si>
  <si>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</si>
  <si>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</si>
  <si>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</si>
  <si>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</si>
  <si>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</si>
  <si>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</si>
  <si>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</si>
  <si>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</si>
  <si>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</si>
  <si>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</si>
  <si>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</si>
  <si>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</si>
  <si>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</si>
  <si>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</si>
  <si>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</si>
  <si>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</si>
  <si>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</si>
  <si>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</si>
  <si>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</si>
  <si>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</si>
  <si>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</si>
  <si>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</si>
  <si>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</si>
  <si>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</si>
  <si>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</si>
  <si>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</si>
  <si>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</si>
  <si>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</si>
  <si>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</si>
  <si>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</si>
  <si>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</si>
  <si>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</si>
  <si>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</si>
  <si>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</si>
  <si>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</si>
  <si>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</si>
  <si>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</si>
  <si>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</si>
  <si>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</si>
  <si>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</si>
  <si>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</si>
  <si>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</si>
  <si>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</si>
  <si>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</si>
  <si>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</si>
  <si>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</si>
  <si>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</si>
  <si>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</si>
  <si>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</si>
  <si>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</si>
  <si>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</si>
  <si>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</si>
  <si>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</si>
  <si>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</si>
  <si>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</si>
  <si>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</si>
  <si>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</si>
  <si>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</si>
  <si>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</si>
  <si>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</si>
  <si>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</si>
  <si>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</si>
  <si>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</si>
  <si>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</si>
  <si>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</si>
  <si>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</si>
  <si>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</si>
  <si>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</si>
  <si>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</si>
  <si>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</si>
  <si>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</si>
  <si>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</si>
  <si>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</si>
  <si>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</si>
  <si>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</si>
  <si>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</si>
  <si>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</si>
  <si>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</si>
  <si>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</si>
  <si>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</si>
  <si>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</si>
  <si>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</si>
  <si>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</si>
  <si>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</si>
  <si>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</si>
  <si>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</si>
  <si>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</si>
  <si>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</si>
  <si>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</si>
  <si>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</si>
  <si>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</si>
  <si>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</si>
  <si>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</si>
  <si>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</si>
  <si>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</si>
  <si>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</si>
  <si>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</si>
  <si>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</si>
  <si>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</si>
  <si>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</si>
  <si>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</si>
  <si>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</si>
  <si>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</si>
  <si>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</si>
  <si>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</si>
  <si>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</si>
  <si>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</si>
  <si>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</si>
  <si>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</si>
  <si>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</si>
  <si>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</si>
  <si>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</si>
  <si>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</si>
  <si>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</si>
  <si>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</si>
  <si>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</si>
  <si>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</si>
  <si>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</si>
  <si>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</si>
  <si>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</si>
  <si>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</si>
  <si>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</si>
  <si>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</si>
  <si>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</si>
  <si>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</si>
  <si>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</si>
  <si>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</si>
  <si>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</si>
  <si>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</si>
  <si>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</si>
  <si>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</si>
  <si>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</si>
  <si>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</si>
  <si>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</si>
  <si>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</si>
  <si>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</si>
  <si>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</si>
  <si>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</si>
  <si>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</si>
  <si>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</si>
  <si>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</si>
  <si>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</si>
  <si>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</si>
  <si>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</si>
  <si>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</si>
  <si>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</si>
  <si>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</si>
  <si>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</si>
  <si>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</si>
  <si>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</si>
  <si>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</si>
  <si>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</si>
  <si>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</si>
  <si>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</si>
  <si>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</si>
  <si>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</si>
  <si>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</si>
  <si>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</si>
  <si>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</si>
  <si>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</si>
  <si>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</si>
  <si>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</si>
  <si>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</si>
  <si>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</si>
  <si>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</si>
  <si>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</si>
  <si>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</si>
  <si>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</si>
  <si>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</si>
  <si>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</si>
  <si>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</si>
  <si>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</si>
  <si>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</si>
  <si>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</si>
  <si>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</si>
  <si>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</si>
  <si>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</si>
  <si>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</si>
  <si>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</si>
  <si>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</si>
  <si>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</si>
  <si>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</si>
  <si>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</si>
  <si>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</si>
  <si>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</si>
  <si>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</si>
  <si>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</si>
  <si>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</si>
  <si>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</si>
  <si>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</si>
  <si>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</si>
  <si>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</si>
  <si>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</si>
  <si>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</si>
  <si>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</si>
  <si>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</si>
  <si>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</si>
  <si>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</si>
  <si>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</si>
  <si>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</si>
  <si>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</si>
  <si>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</si>
  <si>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</si>
  <si>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</si>
  <si>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</si>
  <si>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</si>
  <si>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</si>
  <si>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</si>
  <si>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</si>
  <si>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</si>
  <si>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</si>
  <si>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</si>
  <si>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</si>
  <si>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</si>
  <si>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</si>
  <si>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</si>
  <si>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</si>
  <si>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</si>
  <si>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</si>
  <si>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</si>
  <si>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</si>
  <si>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</si>
  <si>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</si>
  <si>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</si>
  <si>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</si>
  <si>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</si>
  <si>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</si>
  <si>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</si>
  <si>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</si>
  <si>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</si>
  <si>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</si>
  <si>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</si>
  <si>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</si>
  <si>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</si>
  <si>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</si>
  <si>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</si>
  <si>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</si>
  <si>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</si>
  <si>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</si>
  <si>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</si>
  <si>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</si>
  <si>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</si>
  <si>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</si>
  <si>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</si>
  <si>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</si>
  <si>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</si>
  <si>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</si>
  <si>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</si>
  <si>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</si>
  <si>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</si>
  <si>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</si>
  <si>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</si>
  <si>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</si>
  <si>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</si>
  <si>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</si>
  <si>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</si>
  <si>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</si>
  <si>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</si>
  <si>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</si>
  <si>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</si>
  <si>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</si>
  <si>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</si>
  <si>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</si>
  <si>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</si>
  <si>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</si>
  <si>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</si>
  <si>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</si>
  <si>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44021</t>
  </si>
  <si>
    <t>GENT</t>
  </si>
  <si>
    <t>Fluvius</t>
  </si>
  <si>
    <t>referentietaak LNE (2017); Jaarverslag De Lijn</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</si>
  <si>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</si>
  <si>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</si>
  <si>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</si>
  <si>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</si>
  <si>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</si>
  <si>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</si>
  <si>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</si>
  <si>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</si>
  <si>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</si>
  <si>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</si>
  <si>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</si>
  <si>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</si>
  <si>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</si>
  <si>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</si>
  <si>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</si>
  <si>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</si>
  <si>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</si>
  <si>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</si>
  <si>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</si>
  <si>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</si>
  <si>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</si>
  <si>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</si>
  <si>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</si>
  <si>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</si>
  <si>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</si>
  <si>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</si>
  <si>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</si>
  <si>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</si>
  <si>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</si>
  <si>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</si>
  <si>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</si>
  <si>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</si>
  <si>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</si>
  <si>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</si>
  <si>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</si>
  <si>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</si>
  <si>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</si>
  <si>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</si>
  <si>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</si>
  <si>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</si>
  <si>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</si>
  <si>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</si>
  <si>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</si>
  <si>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Bayer CropScience</t>
  </si>
  <si>
    <t>WKK-0776</t>
  </si>
  <si>
    <t>Interne verbrandingsmotor</t>
  </si>
  <si>
    <t>Technologiepark 38, 9052 Zwijnaarde, BE</t>
  </si>
  <si>
    <t>IMEWO (via EANDIS)</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</si>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</sst>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2177849.5662924726</c:v>
                </c:pt>
                <c:pt idx="1">
                  <c:v>1719721.2508709526</c:v>
                </c:pt>
                <c:pt idx="2">
                  <c:v>13783.724</c:v>
                </c:pt>
                <c:pt idx="3">
                  <c:v>23782.191665591683</c:v>
                </c:pt>
                <c:pt idx="4">
                  <c:v>762507.83845679159</c:v>
                </c:pt>
                <c:pt idx="5">
                  <c:v>2043622.518404041</c:v>
                </c:pt>
                <c:pt idx="6">
                  <c:v>47197.134174138751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2177849.5662924726</c:v>
                </c:pt>
                <c:pt idx="1">
                  <c:v>1719721.2508709526</c:v>
                </c:pt>
                <c:pt idx="2">
                  <c:v>13783.724</c:v>
                </c:pt>
                <c:pt idx="3">
                  <c:v>23782.191665591683</c:v>
                </c:pt>
                <c:pt idx="4">
                  <c:v>762507.83845679159</c:v>
                </c:pt>
                <c:pt idx="5">
                  <c:v>2043622.518404041</c:v>
                </c:pt>
                <c:pt idx="6">
                  <c:v>47197.134174138751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434979.5178803188</c:v>
                </c:pt>
                <c:pt idx="2">
                  <c:v>340707.79211448674</c:v>
                </c:pt>
                <c:pt idx="3">
                  <c:v>2705.436619817011</c:v>
                </c:pt>
                <c:pt idx="4">
                  <c:v>5808.0461585508783</c:v>
                </c:pt>
                <c:pt idx="5">
                  <c:v>149235.74532923618</c:v>
                </c:pt>
                <c:pt idx="6">
                  <c:v>512217.7863428907</c:v>
                </c:pt>
                <c:pt idx="7">
                  <c:v>11383.548210196386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434979.5178803188</c:v>
                </c:pt>
                <c:pt idx="2">
                  <c:v>340707.79211448674</c:v>
                </c:pt>
                <c:pt idx="3">
                  <c:v>2705.436619817011</c:v>
                </c:pt>
                <c:pt idx="4">
                  <c:v>5808.0461585508783</c:v>
                </c:pt>
                <c:pt idx="5">
                  <c:v>149235.74532923618</c:v>
                </c:pt>
                <c:pt idx="6">
                  <c:v>512217.7863428907</c:v>
                </c:pt>
                <c:pt idx="7">
                  <c:v>11383.548210196386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44021</v>
      </c>
      <c r="B6" s="384"/>
      <c r="C6" s="385"/>
    </row>
    <row r="7" spans="1:7" s="382" customFormat="1" ht="15.75" customHeight="1">
      <c r="A7" s="386" t="str">
        <f>txtMunicipality</f>
        <v>GENT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727119.06739666266</v>
      </c>
      <c r="D10" s="973">
        <f ca="1">tertiair!C16</f>
        <v>7483.419642857144</v>
      </c>
      <c r="E10" s="973">
        <f ca="1">tertiair!D16</f>
        <v>819662.79559175693</v>
      </c>
      <c r="F10" s="973">
        <f>tertiair!E16</f>
        <v>8842.1897319057844</v>
      </c>
      <c r="G10" s="973">
        <f ca="1">tertiair!F16</f>
        <v>119958.26661513177</v>
      </c>
      <c r="H10" s="973">
        <f>tertiair!G16</f>
        <v>0</v>
      </c>
      <c r="I10" s="973">
        <f>tertiair!H16</f>
        <v>0</v>
      </c>
      <c r="J10" s="973">
        <f>tertiair!I16</f>
        <v>0</v>
      </c>
      <c r="K10" s="973">
        <f>tertiair!J16</f>
        <v>1.3561728621740694</v>
      </c>
      <c r="L10" s="973">
        <f>tertiair!K16</f>
        <v>0</v>
      </c>
      <c r="M10" s="973">
        <f ca="1">tertiair!L16</f>
        <v>0</v>
      </c>
      <c r="N10" s="973">
        <f>tertiair!M16</f>
        <v>0</v>
      </c>
      <c r="O10" s="973">
        <f ca="1">tertiair!N16</f>
        <v>49990.579719776186</v>
      </c>
      <c r="P10" s="973">
        <f>tertiair!O16</f>
        <v>46.9</v>
      </c>
      <c r="Q10" s="974">
        <f>tertiair!P16</f>
        <v>400.4</v>
      </c>
      <c r="R10" s="668">
        <f ca="1">SUM(C10:Q10)</f>
        <v>1733504.9748709525</v>
      </c>
      <c r="S10" s="67"/>
    </row>
    <row r="11" spans="1:19" s="441" customFormat="1">
      <c r="A11" s="777" t="s">
        <v>219</v>
      </c>
      <c r="B11" s="782"/>
      <c r="C11" s="973">
        <f>huishoudens!B8</f>
        <v>367202.59106923989</v>
      </c>
      <c r="D11" s="973">
        <f>huishoudens!C8</f>
        <v>0</v>
      </c>
      <c r="E11" s="973">
        <f>huishoudens!D8</f>
        <v>1119391.7674925569</v>
      </c>
      <c r="F11" s="973">
        <f>huishoudens!E8</f>
        <v>19444.745664224341</v>
      </c>
      <c r="G11" s="973">
        <f>huishoudens!F8</f>
        <v>492642.6936890083</v>
      </c>
      <c r="H11" s="973">
        <f>huishoudens!G8</f>
        <v>0</v>
      </c>
      <c r="I11" s="973">
        <f>huishoudens!H8</f>
        <v>0</v>
      </c>
      <c r="J11" s="973">
        <f>huishoudens!I8</f>
        <v>0</v>
      </c>
      <c r="K11" s="973">
        <f>huishoudens!J8</f>
        <v>2370.5413718552618</v>
      </c>
      <c r="L11" s="973">
        <f>huishoudens!K8</f>
        <v>0</v>
      </c>
      <c r="M11" s="973">
        <f>huishoudens!L8</f>
        <v>0</v>
      </c>
      <c r="N11" s="973">
        <f>huishoudens!M8</f>
        <v>0</v>
      </c>
      <c r="O11" s="973">
        <f>huishoudens!N8</f>
        <v>167668.84700558789</v>
      </c>
      <c r="P11" s="973">
        <f>huishoudens!O8</f>
        <v>2416.9133333333339</v>
      </c>
      <c r="Q11" s="974">
        <f>huishoudens!P8</f>
        <v>6711.4666666666672</v>
      </c>
      <c r="R11" s="668">
        <f>SUM(C11:Q11)</f>
        <v>2177849.5662924726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348108.34734549228</v>
      </c>
      <c r="D13" s="973">
        <f>industrie!C18</f>
        <v>12744.642857142857</v>
      </c>
      <c r="E13" s="973">
        <f>industrie!D18</f>
        <v>294839.79418882931</v>
      </c>
      <c r="F13" s="973">
        <f>industrie!E18</f>
        <v>15465.658791546673</v>
      </c>
      <c r="G13" s="973">
        <f>industrie!F18</f>
        <v>59206.525510153631</v>
      </c>
      <c r="H13" s="973">
        <f>industrie!G18</f>
        <v>0</v>
      </c>
      <c r="I13" s="973">
        <f>industrie!H18</f>
        <v>0</v>
      </c>
      <c r="J13" s="973">
        <f>industrie!I18</f>
        <v>0</v>
      </c>
      <c r="K13" s="973">
        <f>industrie!J18</f>
        <v>511.57833755192416</v>
      </c>
      <c r="L13" s="973">
        <f>industrie!K18</f>
        <v>0</v>
      </c>
      <c r="M13" s="973">
        <f>industrie!L18</f>
        <v>0</v>
      </c>
      <c r="N13" s="973">
        <f>industrie!M18</f>
        <v>0</v>
      </c>
      <c r="O13" s="973">
        <f>industrie!N18</f>
        <v>31631.291426074888</v>
      </c>
      <c r="P13" s="973">
        <f>industrie!O18</f>
        <v>0</v>
      </c>
      <c r="Q13" s="974">
        <f>industrie!P18</f>
        <v>0</v>
      </c>
      <c r="R13" s="668">
        <f>SUM(C13:Q13)</f>
        <v>762507.83845679159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1442430.0058113949</v>
      </c>
      <c r="D16" s="700">
        <f t="shared" ref="D16:R16" ca="1" si="0">SUM(D9:D15)</f>
        <v>20228.0625</v>
      </c>
      <c r="E16" s="700">
        <f t="shared" ca="1" si="0"/>
        <v>2233894.3572731433</v>
      </c>
      <c r="F16" s="700">
        <f t="shared" si="0"/>
        <v>43752.594187676797</v>
      </c>
      <c r="G16" s="700">
        <f t="shared" ca="1" si="0"/>
        <v>671807.48581429373</v>
      </c>
      <c r="H16" s="700">
        <f t="shared" si="0"/>
        <v>0</v>
      </c>
      <c r="I16" s="700">
        <f t="shared" si="0"/>
        <v>0</v>
      </c>
      <c r="J16" s="700">
        <f t="shared" si="0"/>
        <v>0</v>
      </c>
      <c r="K16" s="700">
        <f t="shared" si="0"/>
        <v>2883.4758822693598</v>
      </c>
      <c r="L16" s="700">
        <f t="shared" si="0"/>
        <v>0</v>
      </c>
      <c r="M16" s="700">
        <f t="shared" ca="1" si="0"/>
        <v>0</v>
      </c>
      <c r="N16" s="700">
        <f t="shared" si="0"/>
        <v>0</v>
      </c>
      <c r="O16" s="700">
        <f t="shared" ca="1" si="0"/>
        <v>249290.71815143895</v>
      </c>
      <c r="P16" s="700">
        <f t="shared" si="0"/>
        <v>2463.813333333334</v>
      </c>
      <c r="Q16" s="700">
        <f t="shared" si="0"/>
        <v>7111.8666666666668</v>
      </c>
      <c r="R16" s="700">
        <f t="shared" ca="1" si="0"/>
        <v>4673862.3796202168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9467.3265944335126</v>
      </c>
      <c r="D19" s="973">
        <f>transport!C54</f>
        <v>0</v>
      </c>
      <c r="E19" s="973">
        <f>transport!D54</f>
        <v>0</v>
      </c>
      <c r="F19" s="973">
        <f>transport!E54</f>
        <v>0</v>
      </c>
      <c r="G19" s="973">
        <f>transport!F54</f>
        <v>0</v>
      </c>
      <c r="H19" s="973">
        <f>transport!G54</f>
        <v>35675.370129800569</v>
      </c>
      <c r="I19" s="973">
        <f>transport!H54</f>
        <v>0</v>
      </c>
      <c r="J19" s="973">
        <f>transport!I54</f>
        <v>0</v>
      </c>
      <c r="K19" s="973">
        <f>transport!J54</f>
        <v>0</v>
      </c>
      <c r="L19" s="973">
        <f>transport!K54</f>
        <v>0</v>
      </c>
      <c r="M19" s="973">
        <f>transport!L54</f>
        <v>0</v>
      </c>
      <c r="N19" s="973">
        <f>transport!M54</f>
        <v>2054.437449904668</v>
      </c>
      <c r="O19" s="973">
        <f>transport!N54</f>
        <v>0</v>
      </c>
      <c r="P19" s="973">
        <f>transport!O54</f>
        <v>0</v>
      </c>
      <c r="Q19" s="974">
        <f>transport!P54</f>
        <v>0</v>
      </c>
      <c r="R19" s="668">
        <f>SUM(C19:Q19)</f>
        <v>47197.134174138751</v>
      </c>
      <c r="S19" s="67"/>
    </row>
    <row r="20" spans="1:19" s="441" customFormat="1">
      <c r="A20" s="777" t="s">
        <v>301</v>
      </c>
      <c r="B20" s="782"/>
      <c r="C20" s="973">
        <f>transport!B14</f>
        <v>1118.513688640734</v>
      </c>
      <c r="D20" s="973">
        <f>transport!C14</f>
        <v>0</v>
      </c>
      <c r="E20" s="973">
        <f>transport!D14</f>
        <v>1753.7450095838365</v>
      </c>
      <c r="F20" s="973">
        <f>transport!E14</f>
        <v>3366.722722335147</v>
      </c>
      <c r="G20" s="973">
        <f>transport!F14</f>
        <v>0</v>
      </c>
      <c r="H20" s="973">
        <f>transport!G14</f>
        <v>1645212.0057055766</v>
      </c>
      <c r="I20" s="973">
        <f>transport!H14</f>
        <v>287582.88778511307</v>
      </c>
      <c r="J20" s="973">
        <f>transport!I14</f>
        <v>0</v>
      </c>
      <c r="K20" s="973">
        <f>transport!J14</f>
        <v>0</v>
      </c>
      <c r="L20" s="973">
        <f>transport!K14</f>
        <v>0</v>
      </c>
      <c r="M20" s="973">
        <f>transport!L14</f>
        <v>0</v>
      </c>
      <c r="N20" s="973">
        <f>transport!M14</f>
        <v>104588.64349279144</v>
      </c>
      <c r="O20" s="973">
        <f>transport!N14</f>
        <v>0</v>
      </c>
      <c r="P20" s="973">
        <f>transport!O14</f>
        <v>0</v>
      </c>
      <c r="Q20" s="974">
        <f>transport!P14</f>
        <v>0</v>
      </c>
      <c r="R20" s="668">
        <f>SUM(C20:Q20)</f>
        <v>2043622.518404041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10585.840283074247</v>
      </c>
      <c r="D22" s="780">
        <f t="shared" ref="D22:R22" si="1">SUM(D18:D21)</f>
        <v>0</v>
      </c>
      <c r="E22" s="780">
        <f t="shared" si="1"/>
        <v>1753.7450095838365</v>
      </c>
      <c r="F22" s="780">
        <f t="shared" si="1"/>
        <v>3366.722722335147</v>
      </c>
      <c r="G22" s="780">
        <f t="shared" si="1"/>
        <v>0</v>
      </c>
      <c r="H22" s="780">
        <f t="shared" si="1"/>
        <v>1680887.3758353773</v>
      </c>
      <c r="I22" s="780">
        <f t="shared" si="1"/>
        <v>287582.88778511307</v>
      </c>
      <c r="J22" s="780">
        <f t="shared" si="1"/>
        <v>0</v>
      </c>
      <c r="K22" s="780">
        <f t="shared" si="1"/>
        <v>0</v>
      </c>
      <c r="L22" s="780">
        <f t="shared" si="1"/>
        <v>0</v>
      </c>
      <c r="M22" s="780">
        <f t="shared" si="1"/>
        <v>0</v>
      </c>
      <c r="N22" s="780">
        <f t="shared" si="1"/>
        <v>106643.08094269611</v>
      </c>
      <c r="O22" s="780">
        <f t="shared" si="1"/>
        <v>0</v>
      </c>
      <c r="P22" s="780">
        <f t="shared" si="1"/>
        <v>0</v>
      </c>
      <c r="Q22" s="780">
        <f t="shared" si="1"/>
        <v>0</v>
      </c>
      <c r="R22" s="780">
        <f t="shared" si="1"/>
        <v>2090819.6525781797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3488.4364663012298</v>
      </c>
      <c r="D24" s="973">
        <f>+landbouw!C8</f>
        <v>0</v>
      </c>
      <c r="E24" s="973">
        <f>+landbouw!D8</f>
        <v>5153.1820542962096</v>
      </c>
      <c r="F24" s="973">
        <f>+landbouw!E8</f>
        <v>102.53580265936745</v>
      </c>
      <c r="G24" s="973">
        <f>+landbouw!F8</f>
        <v>14532.637813398482</v>
      </c>
      <c r="H24" s="973">
        <f>+landbouw!G8</f>
        <v>0</v>
      </c>
      <c r="I24" s="973">
        <f>+landbouw!H8</f>
        <v>0</v>
      </c>
      <c r="J24" s="973">
        <f>+landbouw!I8</f>
        <v>0</v>
      </c>
      <c r="K24" s="973">
        <f>+landbouw!J8</f>
        <v>505.39952893639048</v>
      </c>
      <c r="L24" s="973">
        <f>+landbouw!K8</f>
        <v>0</v>
      </c>
      <c r="M24" s="973">
        <f>+landbouw!L8</f>
        <v>0</v>
      </c>
      <c r="N24" s="973">
        <f>+landbouw!M8</f>
        <v>0</v>
      </c>
      <c r="O24" s="973">
        <f>+landbouw!N8</f>
        <v>0</v>
      </c>
      <c r="P24" s="973">
        <f>+landbouw!O8</f>
        <v>0</v>
      </c>
      <c r="Q24" s="974">
        <f>+landbouw!P8</f>
        <v>0</v>
      </c>
      <c r="R24" s="668">
        <f>SUM(C24:Q24)</f>
        <v>23782.191665591683</v>
      </c>
      <c r="S24" s="67"/>
    </row>
    <row r="25" spans="1:19" s="441" customFormat="1" ht="15" thickBot="1">
      <c r="A25" s="799" t="s">
        <v>808</v>
      </c>
      <c r="B25" s="976"/>
      <c r="C25" s="977">
        <f>IF(Onbekend_ele_kWh="---",0,Onbekend_ele_kWh)/1000+IF(REST_rest_ele_kWh="---",0,REST_rest_ele_kWh)/1000</f>
        <v>26433.966989310702</v>
      </c>
      <c r="D25" s="977"/>
      <c r="E25" s="977">
        <f>IF(onbekend_gas_kWh="---",0,onbekend_gas_kWh)/1000+IF(REST_rest_gas_kWh="---",0,REST_rest_gas_kWh)/1000</f>
        <v>94921.212734681496</v>
      </c>
      <c r="F25" s="977"/>
      <c r="G25" s="977"/>
      <c r="H25" s="977"/>
      <c r="I25" s="977"/>
      <c r="J25" s="977"/>
      <c r="K25" s="977"/>
      <c r="L25" s="977"/>
      <c r="M25" s="977"/>
      <c r="N25" s="977"/>
      <c r="O25" s="977"/>
      <c r="P25" s="977"/>
      <c r="Q25" s="978"/>
      <c r="R25" s="668">
        <f>SUM(C25:Q25)</f>
        <v>121355.1797239922</v>
      </c>
      <c r="S25" s="67"/>
    </row>
    <row r="26" spans="1:19" s="441" customFormat="1" ht="15.75" thickBot="1">
      <c r="A26" s="673" t="s">
        <v>809</v>
      </c>
      <c r="B26" s="785"/>
      <c r="C26" s="780">
        <f>SUM(C24:C25)</f>
        <v>29922.403455611933</v>
      </c>
      <c r="D26" s="780">
        <f t="shared" ref="D26:R26" si="2">SUM(D24:D25)</f>
        <v>0</v>
      </c>
      <c r="E26" s="780">
        <f t="shared" si="2"/>
        <v>100074.3947889777</v>
      </c>
      <c r="F26" s="780">
        <f t="shared" si="2"/>
        <v>102.53580265936745</v>
      </c>
      <c r="G26" s="780">
        <f t="shared" si="2"/>
        <v>14532.637813398482</v>
      </c>
      <c r="H26" s="780">
        <f t="shared" si="2"/>
        <v>0</v>
      </c>
      <c r="I26" s="780">
        <f t="shared" si="2"/>
        <v>0</v>
      </c>
      <c r="J26" s="780">
        <f t="shared" si="2"/>
        <v>0</v>
      </c>
      <c r="K26" s="780">
        <f t="shared" si="2"/>
        <v>505.39952893639048</v>
      </c>
      <c r="L26" s="780">
        <f t="shared" si="2"/>
        <v>0</v>
      </c>
      <c r="M26" s="780">
        <f t="shared" si="2"/>
        <v>0</v>
      </c>
      <c r="N26" s="780">
        <f t="shared" si="2"/>
        <v>0</v>
      </c>
      <c r="O26" s="780">
        <f t="shared" si="2"/>
        <v>0</v>
      </c>
      <c r="P26" s="780">
        <f t="shared" si="2"/>
        <v>0</v>
      </c>
      <c r="Q26" s="780">
        <f t="shared" si="2"/>
        <v>0</v>
      </c>
      <c r="R26" s="780">
        <f t="shared" si="2"/>
        <v>145137.37138958389</v>
      </c>
      <c r="S26" s="67"/>
    </row>
    <row r="27" spans="1:19" s="441" customFormat="1" ht="17.25" thickTop="1" thickBot="1">
      <c r="A27" s="674" t="s">
        <v>115</v>
      </c>
      <c r="B27" s="773"/>
      <c r="C27" s="675">
        <f ca="1">C22+C16+C26</f>
        <v>1482938.2495500811</v>
      </c>
      <c r="D27" s="675">
        <f t="shared" ref="D27:R27" ca="1" si="3">D22+D16+D26</f>
        <v>20228.0625</v>
      </c>
      <c r="E27" s="675">
        <f t="shared" ca="1" si="3"/>
        <v>2335722.4970717048</v>
      </c>
      <c r="F27" s="675">
        <f t="shared" si="3"/>
        <v>47221.852712671309</v>
      </c>
      <c r="G27" s="675">
        <f t="shared" ca="1" si="3"/>
        <v>686340.12362769223</v>
      </c>
      <c r="H27" s="675">
        <f t="shared" si="3"/>
        <v>1680887.3758353773</v>
      </c>
      <c r="I27" s="675">
        <f t="shared" si="3"/>
        <v>287582.88778511307</v>
      </c>
      <c r="J27" s="675">
        <f t="shared" si="3"/>
        <v>0</v>
      </c>
      <c r="K27" s="675">
        <f t="shared" si="3"/>
        <v>3388.8754112057504</v>
      </c>
      <c r="L27" s="675">
        <f t="shared" si="3"/>
        <v>0</v>
      </c>
      <c r="M27" s="675">
        <f t="shared" ca="1" si="3"/>
        <v>0</v>
      </c>
      <c r="N27" s="675">
        <f t="shared" si="3"/>
        <v>106643.08094269611</v>
      </c>
      <c r="O27" s="675">
        <f t="shared" ca="1" si="3"/>
        <v>249290.71815143895</v>
      </c>
      <c r="P27" s="675">
        <f t="shared" si="3"/>
        <v>2463.813333333334</v>
      </c>
      <c r="Q27" s="675">
        <f t="shared" si="3"/>
        <v>7111.8666666666668</v>
      </c>
      <c r="R27" s="675">
        <f t="shared" ca="1" si="3"/>
        <v>6909819.4035879802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142717.20413889052</v>
      </c>
      <c r="D40" s="973">
        <f ca="1">tertiair!C20</f>
        <v>1087.6255453022907</v>
      </c>
      <c r="E40" s="973">
        <f ca="1">tertiair!D20</f>
        <v>165571.8847095349</v>
      </c>
      <c r="F40" s="973">
        <f>tertiair!E20</f>
        <v>2007.1770691426132</v>
      </c>
      <c r="G40" s="973">
        <f ca="1">tertiair!F20</f>
        <v>32028.857186240184</v>
      </c>
      <c r="H40" s="973">
        <f>tertiair!G20</f>
        <v>0</v>
      </c>
      <c r="I40" s="973">
        <f>tertiair!H20</f>
        <v>0</v>
      </c>
      <c r="J40" s="973">
        <f>tertiair!I20</f>
        <v>0</v>
      </c>
      <c r="K40" s="973">
        <f>tertiair!J20</f>
        <v>0.48008519320962056</v>
      </c>
      <c r="L40" s="973">
        <f>tertiair!K20</f>
        <v>0</v>
      </c>
      <c r="M40" s="973">
        <f ca="1">tertiair!L20</f>
        <v>0</v>
      </c>
      <c r="N40" s="973">
        <f>tertiair!M20</f>
        <v>0</v>
      </c>
      <c r="O40" s="973">
        <f ca="1">tertiair!N20</f>
        <v>0</v>
      </c>
      <c r="P40" s="973">
        <f>tertiair!O20</f>
        <v>0</v>
      </c>
      <c r="Q40" s="742">
        <f>tertiair!P20</f>
        <v>0</v>
      </c>
      <c r="R40" s="818">
        <f t="shared" ca="1" si="4"/>
        <v>343413.22873430379</v>
      </c>
    </row>
    <row r="41" spans="1:18">
      <c r="A41" s="790" t="s">
        <v>219</v>
      </c>
      <c r="B41" s="797"/>
      <c r="C41" s="973">
        <f ca="1">huishoudens!B12</f>
        <v>72073.652720441329</v>
      </c>
      <c r="D41" s="973">
        <f ca="1">huishoudens!C12</f>
        <v>0</v>
      </c>
      <c r="E41" s="973">
        <f>huishoudens!D12</f>
        <v>226117.13703349652</v>
      </c>
      <c r="F41" s="973">
        <f>huishoudens!E12</f>
        <v>4413.9572657789258</v>
      </c>
      <c r="G41" s="973">
        <f>huishoudens!F12</f>
        <v>131535.59921496522</v>
      </c>
      <c r="H41" s="973">
        <f>huishoudens!G12</f>
        <v>0</v>
      </c>
      <c r="I41" s="973">
        <f>huishoudens!H12</f>
        <v>0</v>
      </c>
      <c r="J41" s="973">
        <f>huishoudens!I12</f>
        <v>0</v>
      </c>
      <c r="K41" s="973">
        <f>huishoudens!J12</f>
        <v>839.17164563676261</v>
      </c>
      <c r="L41" s="973">
        <f>huishoudens!K12</f>
        <v>0</v>
      </c>
      <c r="M41" s="973">
        <f>huishoudens!L12</f>
        <v>0</v>
      </c>
      <c r="N41" s="973">
        <f>huishoudens!M12</f>
        <v>0</v>
      </c>
      <c r="O41" s="973">
        <f>huishoudens!N12</f>
        <v>0</v>
      </c>
      <c r="P41" s="973">
        <f>huishoudens!O12</f>
        <v>0</v>
      </c>
      <c r="Q41" s="742">
        <f>huishoudens!P12</f>
        <v>0</v>
      </c>
      <c r="R41" s="818">
        <f t="shared" ca="1" si="4"/>
        <v>434979.5178803188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68325.879898093917</v>
      </c>
      <c r="D43" s="973">
        <f ca="1">industrie!C22</f>
        <v>1852.2814166132623</v>
      </c>
      <c r="E43" s="973">
        <f>industrie!D22</f>
        <v>59557.638426143523</v>
      </c>
      <c r="F43" s="973">
        <f>industrie!E22</f>
        <v>3510.7045456810952</v>
      </c>
      <c r="G43" s="973">
        <f>industrie!F22</f>
        <v>15808.142311211021</v>
      </c>
      <c r="H43" s="973">
        <f>industrie!G22</f>
        <v>0</v>
      </c>
      <c r="I43" s="973">
        <f>industrie!H22</f>
        <v>0</v>
      </c>
      <c r="J43" s="973">
        <f>industrie!I22</f>
        <v>0</v>
      </c>
      <c r="K43" s="973">
        <f>industrie!J22</f>
        <v>181.09873149338114</v>
      </c>
      <c r="L43" s="973">
        <f>industrie!K22</f>
        <v>0</v>
      </c>
      <c r="M43" s="973">
        <f>industrie!L22</f>
        <v>0</v>
      </c>
      <c r="N43" s="973">
        <f>industrie!M22</f>
        <v>0</v>
      </c>
      <c r="O43" s="973">
        <f>industrie!N22</f>
        <v>0</v>
      </c>
      <c r="P43" s="973">
        <f>industrie!O22</f>
        <v>0</v>
      </c>
      <c r="Q43" s="742">
        <f>industrie!P22</f>
        <v>0</v>
      </c>
      <c r="R43" s="817">
        <f t="shared" ca="1" si="4"/>
        <v>149235.74532923618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283116.73675742577</v>
      </c>
      <c r="D46" s="700">
        <f t="shared" ref="D46:Q46" ca="1" si="5">SUM(D39:D45)</f>
        <v>2939.906961915553</v>
      </c>
      <c r="E46" s="700">
        <f t="shared" ca="1" si="5"/>
        <v>451246.66016917495</v>
      </c>
      <c r="F46" s="700">
        <f t="shared" si="5"/>
        <v>9931.8388806026342</v>
      </c>
      <c r="G46" s="700">
        <f t="shared" ca="1" si="5"/>
        <v>179372.59871241642</v>
      </c>
      <c r="H46" s="700">
        <f t="shared" si="5"/>
        <v>0</v>
      </c>
      <c r="I46" s="700">
        <f t="shared" si="5"/>
        <v>0</v>
      </c>
      <c r="J46" s="700">
        <f t="shared" si="5"/>
        <v>0</v>
      </c>
      <c r="K46" s="700">
        <f t="shared" si="5"/>
        <v>1020.7504623233534</v>
      </c>
      <c r="L46" s="700">
        <f t="shared" si="5"/>
        <v>0</v>
      </c>
      <c r="M46" s="700">
        <f t="shared" ca="1" si="5"/>
        <v>0</v>
      </c>
      <c r="N46" s="700">
        <f t="shared" si="5"/>
        <v>0</v>
      </c>
      <c r="O46" s="700">
        <f t="shared" ca="1" si="5"/>
        <v>0</v>
      </c>
      <c r="P46" s="700">
        <f t="shared" si="5"/>
        <v>0</v>
      </c>
      <c r="Q46" s="700">
        <f t="shared" si="5"/>
        <v>0</v>
      </c>
      <c r="R46" s="700">
        <f ca="1">SUM(R39:R45)</f>
        <v>927628.4919438588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1858.2243855396332</v>
      </c>
      <c r="D49" s="973">
        <f ca="1">transport!C58</f>
        <v>0</v>
      </c>
      <c r="E49" s="973">
        <f>transport!D58</f>
        <v>0</v>
      </c>
      <c r="F49" s="973">
        <f>transport!E58</f>
        <v>0</v>
      </c>
      <c r="G49" s="973">
        <f>transport!F58</f>
        <v>0</v>
      </c>
      <c r="H49" s="973">
        <f>transport!G58</f>
        <v>9525.3238246567525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11383.548210196386</v>
      </c>
    </row>
    <row r="50" spans="1:18">
      <c r="A50" s="793" t="s">
        <v>301</v>
      </c>
      <c r="B50" s="803"/>
      <c r="C50" s="671">
        <f ca="1">transport!B18</f>
        <v>219.53921110254703</v>
      </c>
      <c r="D50" s="671">
        <f>transport!C18</f>
        <v>0</v>
      </c>
      <c r="E50" s="671">
        <f>transport!D18</f>
        <v>354.256491935935</v>
      </c>
      <c r="F50" s="671">
        <f>transport!E18</f>
        <v>764.24605797007837</v>
      </c>
      <c r="G50" s="671">
        <f>transport!F18</f>
        <v>0</v>
      </c>
      <c r="H50" s="671">
        <f>transport!G18</f>
        <v>439271.60552338901</v>
      </c>
      <c r="I50" s="671">
        <f>transport!H18</f>
        <v>71608.139058493151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512217.7863428907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2077.7635966421803</v>
      </c>
      <c r="D52" s="700">
        <f t="shared" ref="D52:Q52" ca="1" si="6">SUM(D48:D51)</f>
        <v>0</v>
      </c>
      <c r="E52" s="700">
        <f t="shared" si="6"/>
        <v>354.256491935935</v>
      </c>
      <c r="F52" s="700">
        <f t="shared" si="6"/>
        <v>764.24605797007837</v>
      </c>
      <c r="G52" s="700">
        <f t="shared" si="6"/>
        <v>0</v>
      </c>
      <c r="H52" s="700">
        <f t="shared" si="6"/>
        <v>448796.92934804579</v>
      </c>
      <c r="I52" s="700">
        <f t="shared" si="6"/>
        <v>71608.139058493151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523601.33455308707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684.70202695849082</v>
      </c>
      <c r="D54" s="671">
        <f ca="1">+landbouw!C12</f>
        <v>0</v>
      </c>
      <c r="E54" s="671">
        <f>+landbouw!D12</f>
        <v>1040.9427749678343</v>
      </c>
      <c r="F54" s="671">
        <f>+landbouw!E12</f>
        <v>23.275627203676411</v>
      </c>
      <c r="G54" s="671">
        <f>+landbouw!F12</f>
        <v>3880.2142961773948</v>
      </c>
      <c r="H54" s="671">
        <f>+landbouw!G12</f>
        <v>0</v>
      </c>
      <c r="I54" s="671">
        <f>+landbouw!H12</f>
        <v>0</v>
      </c>
      <c r="J54" s="671">
        <f>+landbouw!I12</f>
        <v>0</v>
      </c>
      <c r="K54" s="671">
        <f>+landbouw!J12</f>
        <v>178.91143324348221</v>
      </c>
      <c r="L54" s="671">
        <f>+landbouw!K12</f>
        <v>0</v>
      </c>
      <c r="M54" s="671">
        <f>+landbouw!L12</f>
        <v>0</v>
      </c>
      <c r="N54" s="671">
        <f>+landbouw!M12</f>
        <v>0</v>
      </c>
      <c r="O54" s="671">
        <f>+landbouw!N12</f>
        <v>0</v>
      </c>
      <c r="P54" s="671">
        <f>+landbouw!O12</f>
        <v>0</v>
      </c>
      <c r="Q54" s="672">
        <f>+landbouw!P12</f>
        <v>0</v>
      </c>
      <c r="R54" s="699">
        <f ca="1">SUM(C54:Q54)</f>
        <v>5808.0461585508783</v>
      </c>
    </row>
    <row r="55" spans="1:18" ht="15" thickBot="1">
      <c r="A55" s="793" t="s">
        <v>808</v>
      </c>
      <c r="B55" s="803"/>
      <c r="C55" s="671">
        <f ca="1">C25*'EF ele_warmte'!B12</f>
        <v>5188.3962780969205</v>
      </c>
      <c r="D55" s="671"/>
      <c r="E55" s="671">
        <f>E25*EF_CO2_aardgas</f>
        <v>19174.084972405664</v>
      </c>
      <c r="F55" s="671"/>
      <c r="G55" s="671"/>
      <c r="H55" s="671"/>
      <c r="I55" s="671"/>
      <c r="J55" s="671"/>
      <c r="K55" s="671"/>
      <c r="L55" s="671"/>
      <c r="M55" s="671"/>
      <c r="N55" s="671"/>
      <c r="O55" s="671"/>
      <c r="P55" s="671"/>
      <c r="Q55" s="672"/>
      <c r="R55" s="699">
        <f ca="1">SUM(C55:Q55)</f>
        <v>24362.481250502584</v>
      </c>
    </row>
    <row r="56" spans="1:18" ht="15.75" thickBot="1">
      <c r="A56" s="791" t="s">
        <v>809</v>
      </c>
      <c r="B56" s="804"/>
      <c r="C56" s="700">
        <f ca="1">SUM(C54:C55)</f>
        <v>5873.0983050554114</v>
      </c>
      <c r="D56" s="700">
        <f t="shared" ref="D56:Q56" ca="1" si="7">SUM(D54:D55)</f>
        <v>0</v>
      </c>
      <c r="E56" s="700">
        <f t="shared" si="7"/>
        <v>20215.027747373497</v>
      </c>
      <c r="F56" s="700">
        <f t="shared" si="7"/>
        <v>23.275627203676411</v>
      </c>
      <c r="G56" s="700">
        <f t="shared" si="7"/>
        <v>3880.2142961773948</v>
      </c>
      <c r="H56" s="700">
        <f t="shared" si="7"/>
        <v>0</v>
      </c>
      <c r="I56" s="700">
        <f t="shared" si="7"/>
        <v>0</v>
      </c>
      <c r="J56" s="700">
        <f t="shared" si="7"/>
        <v>0</v>
      </c>
      <c r="K56" s="700">
        <f t="shared" si="7"/>
        <v>178.91143324348221</v>
      </c>
      <c r="L56" s="700">
        <f t="shared" si="7"/>
        <v>0</v>
      </c>
      <c r="M56" s="700">
        <f t="shared" si="7"/>
        <v>0</v>
      </c>
      <c r="N56" s="700">
        <f t="shared" si="7"/>
        <v>0</v>
      </c>
      <c r="O56" s="700">
        <f t="shared" si="7"/>
        <v>0</v>
      </c>
      <c r="P56" s="700">
        <f t="shared" si="7"/>
        <v>0</v>
      </c>
      <c r="Q56" s="701">
        <f t="shared" si="7"/>
        <v>0</v>
      </c>
      <c r="R56" s="702">
        <f ca="1">SUM(R54:R55)</f>
        <v>30170.527409053462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291067.59865912335</v>
      </c>
      <c r="D61" s="708">
        <f t="shared" ref="D61:Q61" ca="1" si="8">D46+D52+D56</f>
        <v>2939.906961915553</v>
      </c>
      <c r="E61" s="708">
        <f t="shared" ca="1" si="8"/>
        <v>471815.94440848439</v>
      </c>
      <c r="F61" s="708">
        <f t="shared" si="8"/>
        <v>10719.360565776389</v>
      </c>
      <c r="G61" s="708">
        <f t="shared" ca="1" si="8"/>
        <v>183252.81300859383</v>
      </c>
      <c r="H61" s="708">
        <f t="shared" si="8"/>
        <v>448796.92934804579</v>
      </c>
      <c r="I61" s="708">
        <f t="shared" si="8"/>
        <v>71608.139058493151</v>
      </c>
      <c r="J61" s="708">
        <f t="shared" si="8"/>
        <v>0</v>
      </c>
      <c r="K61" s="708">
        <f t="shared" si="8"/>
        <v>1199.6618955668357</v>
      </c>
      <c r="L61" s="708">
        <f t="shared" si="8"/>
        <v>0</v>
      </c>
      <c r="M61" s="708">
        <f t="shared" ca="1" si="8"/>
        <v>0</v>
      </c>
      <c r="N61" s="708">
        <f t="shared" si="8"/>
        <v>0</v>
      </c>
      <c r="O61" s="708">
        <f t="shared" ca="1" si="8"/>
        <v>0</v>
      </c>
      <c r="P61" s="708">
        <f t="shared" si="8"/>
        <v>0</v>
      </c>
      <c r="Q61" s="708">
        <f t="shared" si="8"/>
        <v>0</v>
      </c>
      <c r="R61" s="708">
        <f ca="1">R46+R52+R56</f>
        <v>1481400.3539059993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0.19627762568497534</v>
      </c>
      <c r="D63" s="749">
        <f t="shared" ca="1" si="9"/>
        <v>0.14533804025548927</v>
      </c>
      <c r="E63" s="984">
        <f t="shared" ca="1" si="9"/>
        <v>0.20200000000000001</v>
      </c>
      <c r="F63" s="749">
        <f t="shared" si="9"/>
        <v>0.22700000000000004</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102571.78585891335</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55892.946175154677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7069.9530663055821</v>
      </c>
      <c r="C76" s="718">
        <f>'lokale energieproductie'!B8*IFERROR(SUM(D76:H76)/SUM(D76:O76),0)</f>
        <v>9190.796933694417</v>
      </c>
      <c r="D76" s="994">
        <f>'lokale energieproductie'!C8</f>
        <v>8054.8813763122616</v>
      </c>
      <c r="E76" s="995">
        <f>'lokale energieproductie'!D8</f>
        <v>0</v>
      </c>
      <c r="F76" s="995">
        <f>'lokale energieproductie'!E8</f>
        <v>2757.3764047541968</v>
      </c>
      <c r="G76" s="995">
        <f>'lokale energieproductie'!F8</f>
        <v>0</v>
      </c>
      <c r="H76" s="995">
        <f>'lokale energieproductie'!G8</f>
        <v>0</v>
      </c>
      <c r="I76" s="995">
        <f>'lokale energieproductie'!I8</f>
        <v>8317.2499190676608</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2363.3055380844476</v>
      </c>
      <c r="R76" s="820">
        <v>0</v>
      </c>
    </row>
    <row r="77" spans="1:18" ht="30.75" thickBot="1">
      <c r="A77" s="721" t="s">
        <v>345</v>
      </c>
      <c r="B77" s="718">
        <f>'lokale energieproductie'!B9*IFERROR(SUM(I77:O77)/SUM(D77:O77),0)</f>
        <v>1858.5</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5310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167393.18510037361</v>
      </c>
      <c r="C78" s="723">
        <f>SUM(C72:C77)</f>
        <v>9190.796933694417</v>
      </c>
      <c r="D78" s="724">
        <f t="shared" ref="D78:H78" si="10">SUM(D76:D77)</f>
        <v>8054.8813763122616</v>
      </c>
      <c r="E78" s="724">
        <f t="shared" si="10"/>
        <v>0</v>
      </c>
      <c r="F78" s="724">
        <f t="shared" si="10"/>
        <v>2757.3764047541968</v>
      </c>
      <c r="G78" s="724">
        <f t="shared" si="10"/>
        <v>0</v>
      </c>
      <c r="H78" s="724">
        <f t="shared" si="10"/>
        <v>0</v>
      </c>
      <c r="I78" s="724">
        <f>SUM(I76:I77)</f>
        <v>8317.2499190676608</v>
      </c>
      <c r="J78" s="724">
        <f>SUM(J76:J77)</f>
        <v>5310</v>
      </c>
      <c r="K78" s="724">
        <f t="shared" ref="K78:L78" si="11">SUM(K76:K77)</f>
        <v>0</v>
      </c>
      <c r="L78" s="724">
        <f t="shared" si="11"/>
        <v>0</v>
      </c>
      <c r="M78" s="724">
        <f>SUM(M76:M77)</f>
        <v>0</v>
      </c>
      <c r="N78" s="724">
        <f>SUM(N76:N77)</f>
        <v>0</v>
      </c>
      <c r="O78" s="828">
        <f>SUM(O76:O77)</f>
        <v>0</v>
      </c>
      <c r="P78" s="725">
        <v>0</v>
      </c>
      <c r="Q78" s="725">
        <f>SUM(Q76:Q77)</f>
        <v>2363.3055380844476</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8794.8866133047923</v>
      </c>
      <c r="C87" s="734">
        <f>'lokale energieproductie'!B17*IFERROR(SUM(D87:H87)/SUM(D87:O87),0)</f>
        <v>11433.175886695204</v>
      </c>
      <c r="D87" s="745">
        <f>'lokale energieproductie'!C17</f>
        <v>10020.11862368774</v>
      </c>
      <c r="E87" s="745">
        <f>'lokale energieproductie'!D17</f>
        <v>0</v>
      </c>
      <c r="F87" s="745">
        <f>'lokale energieproductie'!E17</f>
        <v>3430.1235952458023</v>
      </c>
      <c r="G87" s="745">
        <f>'lokale energieproductie'!F17</f>
        <v>0</v>
      </c>
      <c r="H87" s="745">
        <f>'lokale energieproductie'!G17</f>
        <v>0</v>
      </c>
      <c r="I87" s="745">
        <f>'lokale energieproductie'!I17</f>
        <v>10346.500080932337</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2939.906961915553</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8794.8866133047923</v>
      </c>
      <c r="C90" s="723">
        <f>SUM(C87:C89)</f>
        <v>11433.175886695204</v>
      </c>
      <c r="D90" s="723">
        <f t="shared" ref="D90:H90" si="12">SUM(D87:D89)</f>
        <v>10020.11862368774</v>
      </c>
      <c r="E90" s="723">
        <f t="shared" si="12"/>
        <v>0</v>
      </c>
      <c r="F90" s="723">
        <f t="shared" si="12"/>
        <v>3430.1235952458023</v>
      </c>
      <c r="G90" s="723">
        <f t="shared" si="12"/>
        <v>0</v>
      </c>
      <c r="H90" s="723">
        <f t="shared" si="12"/>
        <v>0</v>
      </c>
      <c r="I90" s="723">
        <f>SUM(I87:I89)</f>
        <v>10346.500080932337</v>
      </c>
      <c r="J90" s="723">
        <f>SUM(J87:J89)</f>
        <v>0</v>
      </c>
      <c r="K90" s="723">
        <f t="shared" ref="K90:L90" si="13">SUM(K87:K89)</f>
        <v>0</v>
      </c>
      <c r="L90" s="723">
        <f t="shared" si="13"/>
        <v>0</v>
      </c>
      <c r="M90" s="723">
        <f>SUM(M87:M89)</f>
        <v>0</v>
      </c>
      <c r="N90" s="723">
        <f>SUM(N87:N89)</f>
        <v>0</v>
      </c>
      <c r="O90" s="723">
        <f>SUM(O87:O89)</f>
        <v>0</v>
      </c>
      <c r="P90" s="723">
        <v>0</v>
      </c>
      <c r="Q90" s="723">
        <f>SUM(Q87:Q89)</f>
        <v>2939.906961915553</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367202.59106923989</v>
      </c>
      <c r="C4" s="445">
        <f>huishoudens!C8</f>
        <v>0</v>
      </c>
      <c r="D4" s="445">
        <f>huishoudens!D8</f>
        <v>1119391.7674925569</v>
      </c>
      <c r="E4" s="445">
        <f>huishoudens!E8</f>
        <v>19444.745664224341</v>
      </c>
      <c r="F4" s="445">
        <f>huishoudens!F8</f>
        <v>492642.6936890083</v>
      </c>
      <c r="G4" s="445">
        <f>huishoudens!G8</f>
        <v>0</v>
      </c>
      <c r="H4" s="445">
        <f>huishoudens!H8</f>
        <v>0</v>
      </c>
      <c r="I4" s="445">
        <f>huishoudens!I8</f>
        <v>0</v>
      </c>
      <c r="J4" s="445">
        <f>huishoudens!J8</f>
        <v>2370.5413718552618</v>
      </c>
      <c r="K4" s="445">
        <f>huishoudens!K8</f>
        <v>0</v>
      </c>
      <c r="L4" s="445">
        <f>huishoudens!L8</f>
        <v>0</v>
      </c>
      <c r="M4" s="445">
        <f>huishoudens!M8</f>
        <v>0</v>
      </c>
      <c r="N4" s="445">
        <f>huishoudens!N8</f>
        <v>167668.84700558789</v>
      </c>
      <c r="O4" s="445">
        <f>huishoudens!O8</f>
        <v>2416.9133333333339</v>
      </c>
      <c r="P4" s="446">
        <f>huishoudens!P8</f>
        <v>6711.4666666666672</v>
      </c>
      <c r="Q4" s="447">
        <f>SUM(B4:P4)</f>
        <v>2177849.5662924726</v>
      </c>
    </row>
    <row r="5" spans="1:17">
      <c r="A5" s="444" t="s">
        <v>155</v>
      </c>
      <c r="B5" s="445">
        <f ca="1">tertiair!B16</f>
        <v>713335.34339666262</v>
      </c>
      <c r="C5" s="445">
        <f ca="1">tertiair!C16</f>
        <v>7483.419642857144</v>
      </c>
      <c r="D5" s="445">
        <f ca="1">tertiair!D16</f>
        <v>819662.79559175693</v>
      </c>
      <c r="E5" s="445">
        <f>tertiair!E16</f>
        <v>8842.1897319057844</v>
      </c>
      <c r="F5" s="445">
        <f ca="1">tertiair!F16</f>
        <v>119958.26661513177</v>
      </c>
      <c r="G5" s="445">
        <f>tertiair!G16</f>
        <v>0</v>
      </c>
      <c r="H5" s="445">
        <f>tertiair!H16</f>
        <v>0</v>
      </c>
      <c r="I5" s="445">
        <f>tertiair!I16</f>
        <v>0</v>
      </c>
      <c r="J5" s="445">
        <f>tertiair!J16</f>
        <v>1.3561728621740694</v>
      </c>
      <c r="K5" s="445">
        <f>tertiair!K16</f>
        <v>0</v>
      </c>
      <c r="L5" s="445">
        <f ca="1">tertiair!L16</f>
        <v>0</v>
      </c>
      <c r="M5" s="445">
        <f>tertiair!M16</f>
        <v>0</v>
      </c>
      <c r="N5" s="445">
        <f ca="1">tertiair!N16</f>
        <v>49990.579719776186</v>
      </c>
      <c r="O5" s="445">
        <f>tertiair!O16</f>
        <v>46.9</v>
      </c>
      <c r="P5" s="446">
        <f>tertiair!P16</f>
        <v>400.4</v>
      </c>
      <c r="Q5" s="444">
        <f t="shared" ref="Q5:Q14" ca="1" si="0">SUM(B5:P5)</f>
        <v>1719721.2508709526</v>
      </c>
    </row>
    <row r="6" spans="1:17">
      <c r="A6" s="444" t="s">
        <v>193</v>
      </c>
      <c r="B6" s="445">
        <f>'openbare verlichting'!B8</f>
        <v>13783.724</v>
      </c>
      <c r="C6" s="445"/>
      <c r="D6" s="445"/>
      <c r="E6" s="445"/>
      <c r="F6" s="445"/>
      <c r="G6" s="445"/>
      <c r="H6" s="445"/>
      <c r="I6" s="445"/>
      <c r="J6" s="445"/>
      <c r="K6" s="445"/>
      <c r="L6" s="445"/>
      <c r="M6" s="445"/>
      <c r="N6" s="445"/>
      <c r="O6" s="445"/>
      <c r="P6" s="446"/>
      <c r="Q6" s="444">
        <f t="shared" si="0"/>
        <v>13783.724</v>
      </c>
    </row>
    <row r="7" spans="1:17">
      <c r="A7" s="444" t="s">
        <v>111</v>
      </c>
      <c r="B7" s="445">
        <f>landbouw!B8</f>
        <v>3488.4364663012298</v>
      </c>
      <c r="C7" s="445">
        <f>landbouw!C8</f>
        <v>0</v>
      </c>
      <c r="D7" s="445">
        <f>landbouw!D8</f>
        <v>5153.1820542962096</v>
      </c>
      <c r="E7" s="445">
        <f>landbouw!E8</f>
        <v>102.53580265936745</v>
      </c>
      <c r="F7" s="445">
        <f>landbouw!F8</f>
        <v>14532.637813398482</v>
      </c>
      <c r="G7" s="445">
        <f>landbouw!G8</f>
        <v>0</v>
      </c>
      <c r="H7" s="445">
        <f>landbouw!H8</f>
        <v>0</v>
      </c>
      <c r="I7" s="445">
        <f>landbouw!I8</f>
        <v>0</v>
      </c>
      <c r="J7" s="445">
        <f>landbouw!J8</f>
        <v>505.39952893639048</v>
      </c>
      <c r="K7" s="445">
        <f>landbouw!K8</f>
        <v>0</v>
      </c>
      <c r="L7" s="445">
        <f>landbouw!L8</f>
        <v>0</v>
      </c>
      <c r="M7" s="445">
        <f>landbouw!M8</f>
        <v>0</v>
      </c>
      <c r="N7" s="445">
        <f>landbouw!N8</f>
        <v>0</v>
      </c>
      <c r="O7" s="445">
        <f>landbouw!O8</f>
        <v>0</v>
      </c>
      <c r="P7" s="446">
        <f>landbouw!P8</f>
        <v>0</v>
      </c>
      <c r="Q7" s="444">
        <f t="shared" si="0"/>
        <v>23782.191665591683</v>
      </c>
    </row>
    <row r="8" spans="1:17">
      <c r="A8" s="444" t="s">
        <v>627</v>
      </c>
      <c r="B8" s="445">
        <f>industrie!B18</f>
        <v>348108.34734549228</v>
      </c>
      <c r="C8" s="445">
        <f>industrie!C18</f>
        <v>12744.642857142857</v>
      </c>
      <c r="D8" s="445">
        <f>industrie!D18</f>
        <v>294839.79418882931</v>
      </c>
      <c r="E8" s="445">
        <f>industrie!E18</f>
        <v>15465.658791546673</v>
      </c>
      <c r="F8" s="445">
        <f>industrie!F18</f>
        <v>59206.525510153631</v>
      </c>
      <c r="G8" s="445">
        <f>industrie!G18</f>
        <v>0</v>
      </c>
      <c r="H8" s="445">
        <f>industrie!H18</f>
        <v>0</v>
      </c>
      <c r="I8" s="445">
        <f>industrie!I18</f>
        <v>0</v>
      </c>
      <c r="J8" s="445">
        <f>industrie!J18</f>
        <v>511.57833755192416</v>
      </c>
      <c r="K8" s="445">
        <f>industrie!K18</f>
        <v>0</v>
      </c>
      <c r="L8" s="445">
        <f>industrie!L18</f>
        <v>0</v>
      </c>
      <c r="M8" s="445">
        <f>industrie!M18</f>
        <v>0</v>
      </c>
      <c r="N8" s="445">
        <f>industrie!N18</f>
        <v>31631.291426074888</v>
      </c>
      <c r="O8" s="445">
        <f>industrie!O18</f>
        <v>0</v>
      </c>
      <c r="P8" s="446">
        <f>industrie!P18</f>
        <v>0</v>
      </c>
      <c r="Q8" s="444">
        <f t="shared" si="0"/>
        <v>762507.83845679159</v>
      </c>
    </row>
    <row r="9" spans="1:17" s="450" customFormat="1">
      <c r="A9" s="448" t="s">
        <v>553</v>
      </c>
      <c r="B9" s="449">
        <f>transport!B14</f>
        <v>1118.513688640734</v>
      </c>
      <c r="C9" s="449">
        <f>transport!C14</f>
        <v>0</v>
      </c>
      <c r="D9" s="449">
        <f>transport!D14</f>
        <v>1753.7450095838365</v>
      </c>
      <c r="E9" s="449">
        <f>transport!E14</f>
        <v>3366.722722335147</v>
      </c>
      <c r="F9" s="449">
        <f>transport!F14</f>
        <v>0</v>
      </c>
      <c r="G9" s="449">
        <f>transport!G14</f>
        <v>1645212.0057055766</v>
      </c>
      <c r="H9" s="449">
        <f>transport!H14</f>
        <v>287582.88778511307</v>
      </c>
      <c r="I9" s="449">
        <f>transport!I14</f>
        <v>0</v>
      </c>
      <c r="J9" s="449">
        <f>transport!J14</f>
        <v>0</v>
      </c>
      <c r="K9" s="449">
        <f>transport!K14</f>
        <v>0</v>
      </c>
      <c r="L9" s="449">
        <f>transport!L14</f>
        <v>0</v>
      </c>
      <c r="M9" s="449">
        <f>transport!M14</f>
        <v>104588.64349279144</v>
      </c>
      <c r="N9" s="449">
        <f>transport!N14</f>
        <v>0</v>
      </c>
      <c r="O9" s="449">
        <f>transport!O14</f>
        <v>0</v>
      </c>
      <c r="P9" s="449">
        <f>transport!P14</f>
        <v>0</v>
      </c>
      <c r="Q9" s="448">
        <f>SUM(B9:P9)</f>
        <v>2043622.518404041</v>
      </c>
    </row>
    <row r="10" spans="1:17">
      <c r="A10" s="444" t="s">
        <v>543</v>
      </c>
      <c r="B10" s="445">
        <f>transport!B54</f>
        <v>9467.3265944335126</v>
      </c>
      <c r="C10" s="445">
        <f>transport!C54</f>
        <v>0</v>
      </c>
      <c r="D10" s="445">
        <f>transport!D54</f>
        <v>0</v>
      </c>
      <c r="E10" s="445">
        <f>transport!E54</f>
        <v>0</v>
      </c>
      <c r="F10" s="445">
        <f>transport!F54</f>
        <v>0</v>
      </c>
      <c r="G10" s="445">
        <f>transport!G54</f>
        <v>35675.370129800569</v>
      </c>
      <c r="H10" s="445">
        <f>transport!H54</f>
        <v>0</v>
      </c>
      <c r="I10" s="445">
        <f>transport!I54</f>
        <v>0</v>
      </c>
      <c r="J10" s="445">
        <f>transport!J54</f>
        <v>0</v>
      </c>
      <c r="K10" s="445">
        <f>transport!K54</f>
        <v>0</v>
      </c>
      <c r="L10" s="445">
        <f>transport!L54</f>
        <v>0</v>
      </c>
      <c r="M10" s="445">
        <f>transport!M54</f>
        <v>2054.437449904668</v>
      </c>
      <c r="N10" s="445">
        <f>transport!N54</f>
        <v>0</v>
      </c>
      <c r="O10" s="445">
        <f>transport!O54</f>
        <v>0</v>
      </c>
      <c r="P10" s="446">
        <f>transport!P54</f>
        <v>0</v>
      </c>
      <c r="Q10" s="444">
        <f t="shared" si="0"/>
        <v>47197.134174138751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26433.966989310702</v>
      </c>
      <c r="C14" s="452"/>
      <c r="D14" s="452">
        <f>'SEAP template'!E25</f>
        <v>94921.212734681496</v>
      </c>
      <c r="E14" s="452"/>
      <c r="F14" s="452"/>
      <c r="G14" s="452"/>
      <c r="H14" s="452"/>
      <c r="I14" s="452"/>
      <c r="J14" s="452"/>
      <c r="K14" s="452"/>
      <c r="L14" s="452"/>
      <c r="M14" s="452"/>
      <c r="N14" s="452"/>
      <c r="O14" s="452"/>
      <c r="P14" s="453"/>
      <c r="Q14" s="444">
        <f t="shared" si="0"/>
        <v>121355.1797239922</v>
      </c>
    </row>
    <row r="15" spans="1:17" s="454" customFormat="1">
      <c r="A15" s="999" t="s">
        <v>547</v>
      </c>
      <c r="B15" s="947">
        <f ca="1">SUM(B4:B14)</f>
        <v>1482938.2495500809</v>
      </c>
      <c r="C15" s="947">
        <f t="shared" ref="C15:Q15" ca="1" si="1">SUM(C4:C14)</f>
        <v>20228.0625</v>
      </c>
      <c r="D15" s="947">
        <f t="shared" ca="1" si="1"/>
        <v>2335722.4970717048</v>
      </c>
      <c r="E15" s="947">
        <f t="shared" si="1"/>
        <v>47221.852712671309</v>
      </c>
      <c r="F15" s="947">
        <f t="shared" ca="1" si="1"/>
        <v>686340.12362769223</v>
      </c>
      <c r="G15" s="947">
        <f t="shared" si="1"/>
        <v>1680887.3758353773</v>
      </c>
      <c r="H15" s="947">
        <f t="shared" si="1"/>
        <v>287582.88778511307</v>
      </c>
      <c r="I15" s="947">
        <f t="shared" si="1"/>
        <v>0</v>
      </c>
      <c r="J15" s="947">
        <f t="shared" si="1"/>
        <v>3388.8754112057504</v>
      </c>
      <c r="K15" s="947">
        <f t="shared" si="1"/>
        <v>0</v>
      </c>
      <c r="L15" s="947">
        <f t="shared" ca="1" si="1"/>
        <v>0</v>
      </c>
      <c r="M15" s="947">
        <f t="shared" si="1"/>
        <v>106643.08094269611</v>
      </c>
      <c r="N15" s="947">
        <f t="shared" ca="1" si="1"/>
        <v>249290.71815143895</v>
      </c>
      <c r="O15" s="947">
        <f t="shared" si="1"/>
        <v>2463.813333333334</v>
      </c>
      <c r="P15" s="947">
        <f t="shared" si="1"/>
        <v>7111.8666666666668</v>
      </c>
      <c r="Q15" s="947">
        <f t="shared" ca="1" si="1"/>
        <v>6909819.4035879793</v>
      </c>
    </row>
    <row r="17" spans="1:17">
      <c r="A17" s="455" t="s">
        <v>548</v>
      </c>
      <c r="B17" s="754">
        <f ca="1">huishoudens!B10</f>
        <v>0.19627762568497534</v>
      </c>
      <c r="C17" s="754">
        <f ca="1">huishoudens!C10</f>
        <v>0.14533804025548927</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72073.652720441329</v>
      </c>
      <c r="C22" s="445">
        <f t="shared" ref="C22:C32" ca="1" si="3">C4*$C$17</f>
        <v>0</v>
      </c>
      <c r="D22" s="445">
        <f t="shared" ref="D22:D32" si="4">D4*$D$17</f>
        <v>226117.13703349652</v>
      </c>
      <c r="E22" s="445">
        <f t="shared" ref="E22:E32" si="5">E4*$E$17</f>
        <v>4413.9572657789258</v>
      </c>
      <c r="F22" s="445">
        <f t="shared" ref="F22:F32" si="6">F4*$F$17</f>
        <v>131535.59921496522</v>
      </c>
      <c r="G22" s="445">
        <f t="shared" ref="G22:G32" si="7">G4*$G$17</f>
        <v>0</v>
      </c>
      <c r="H22" s="445">
        <f t="shared" ref="H22:H32" si="8">H4*$H$17</f>
        <v>0</v>
      </c>
      <c r="I22" s="445">
        <f t="shared" ref="I22:I32" si="9">I4*$I$17</f>
        <v>0</v>
      </c>
      <c r="J22" s="445">
        <f t="shared" ref="J22:J32" si="10">J4*$J$17</f>
        <v>839.17164563676261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434979.5178803188</v>
      </c>
    </row>
    <row r="23" spans="1:17">
      <c r="A23" s="444" t="s">
        <v>155</v>
      </c>
      <c r="B23" s="445">
        <f t="shared" ca="1" si="2"/>
        <v>140011.7675190735</v>
      </c>
      <c r="C23" s="445">
        <f t="shared" ca="1" si="3"/>
        <v>1087.6255453022907</v>
      </c>
      <c r="D23" s="445">
        <f t="shared" ca="1" si="4"/>
        <v>165571.8847095349</v>
      </c>
      <c r="E23" s="445">
        <f t="shared" si="5"/>
        <v>2007.1770691426132</v>
      </c>
      <c r="F23" s="445">
        <f t="shared" ca="1" si="6"/>
        <v>32028.857186240184</v>
      </c>
      <c r="G23" s="445">
        <f t="shared" si="7"/>
        <v>0</v>
      </c>
      <c r="H23" s="445">
        <f t="shared" si="8"/>
        <v>0</v>
      </c>
      <c r="I23" s="445">
        <f t="shared" si="9"/>
        <v>0</v>
      </c>
      <c r="J23" s="445">
        <f t="shared" si="10"/>
        <v>0.48008519320962056</v>
      </c>
      <c r="K23" s="445">
        <f t="shared" si="11"/>
        <v>0</v>
      </c>
      <c r="L23" s="445">
        <f t="shared" ca="1" si="12"/>
        <v>0</v>
      </c>
      <c r="M23" s="445">
        <f t="shared" si="13"/>
        <v>0</v>
      </c>
      <c r="N23" s="445">
        <f t="shared" ca="1" si="14"/>
        <v>0</v>
      </c>
      <c r="O23" s="445">
        <f t="shared" si="15"/>
        <v>0</v>
      </c>
      <c r="P23" s="446">
        <f t="shared" si="16"/>
        <v>0</v>
      </c>
      <c r="Q23" s="444">
        <f t="shared" ref="Q23:Q32" ca="1" si="17">SUM(B23:P23)</f>
        <v>340707.79211448674</v>
      </c>
    </row>
    <row r="24" spans="1:17">
      <c r="A24" s="444" t="s">
        <v>193</v>
      </c>
      <c r="B24" s="445">
        <f t="shared" ca="1" si="2"/>
        <v>2705.436619817011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2705.436619817011</v>
      </c>
    </row>
    <row r="25" spans="1:17">
      <c r="A25" s="444" t="s">
        <v>111</v>
      </c>
      <c r="B25" s="445">
        <f t="shared" ca="1" si="2"/>
        <v>684.70202695849082</v>
      </c>
      <c r="C25" s="445">
        <f t="shared" ca="1" si="3"/>
        <v>0</v>
      </c>
      <c r="D25" s="445">
        <f t="shared" si="4"/>
        <v>1040.9427749678343</v>
      </c>
      <c r="E25" s="445">
        <f t="shared" si="5"/>
        <v>23.275627203676411</v>
      </c>
      <c r="F25" s="445">
        <f t="shared" si="6"/>
        <v>3880.2142961773948</v>
      </c>
      <c r="G25" s="445">
        <f t="shared" si="7"/>
        <v>0</v>
      </c>
      <c r="H25" s="445">
        <f t="shared" si="8"/>
        <v>0</v>
      </c>
      <c r="I25" s="445">
        <f t="shared" si="9"/>
        <v>0</v>
      </c>
      <c r="J25" s="445">
        <f t="shared" si="10"/>
        <v>178.91143324348221</v>
      </c>
      <c r="K25" s="445">
        <f t="shared" si="11"/>
        <v>0</v>
      </c>
      <c r="L25" s="445">
        <f t="shared" si="12"/>
        <v>0</v>
      </c>
      <c r="M25" s="445">
        <f t="shared" si="13"/>
        <v>0</v>
      </c>
      <c r="N25" s="445">
        <f t="shared" si="14"/>
        <v>0</v>
      </c>
      <c r="O25" s="445">
        <f t="shared" si="15"/>
        <v>0</v>
      </c>
      <c r="P25" s="446">
        <f t="shared" si="16"/>
        <v>0</v>
      </c>
      <c r="Q25" s="444">
        <f t="shared" ca="1" si="17"/>
        <v>5808.0461585508783</v>
      </c>
    </row>
    <row r="26" spans="1:17">
      <c r="A26" s="444" t="s">
        <v>627</v>
      </c>
      <c r="B26" s="445">
        <f t="shared" ca="1" si="2"/>
        <v>68325.879898093917</v>
      </c>
      <c r="C26" s="445">
        <f t="shared" ca="1" si="3"/>
        <v>1852.2814166132623</v>
      </c>
      <c r="D26" s="445">
        <f t="shared" si="4"/>
        <v>59557.638426143523</v>
      </c>
      <c r="E26" s="445">
        <f t="shared" si="5"/>
        <v>3510.7045456810952</v>
      </c>
      <c r="F26" s="445">
        <f t="shared" si="6"/>
        <v>15808.142311211021</v>
      </c>
      <c r="G26" s="445">
        <f t="shared" si="7"/>
        <v>0</v>
      </c>
      <c r="H26" s="445">
        <f t="shared" si="8"/>
        <v>0</v>
      </c>
      <c r="I26" s="445">
        <f t="shared" si="9"/>
        <v>0</v>
      </c>
      <c r="J26" s="445">
        <f t="shared" si="10"/>
        <v>181.09873149338114</v>
      </c>
      <c r="K26" s="445">
        <f t="shared" si="11"/>
        <v>0</v>
      </c>
      <c r="L26" s="445">
        <f t="shared" si="12"/>
        <v>0</v>
      </c>
      <c r="M26" s="445">
        <f t="shared" si="13"/>
        <v>0</v>
      </c>
      <c r="N26" s="445">
        <f t="shared" si="14"/>
        <v>0</v>
      </c>
      <c r="O26" s="445">
        <f t="shared" si="15"/>
        <v>0</v>
      </c>
      <c r="P26" s="446">
        <f t="shared" si="16"/>
        <v>0</v>
      </c>
      <c r="Q26" s="444">
        <f t="shared" ca="1" si="17"/>
        <v>149235.74532923618</v>
      </c>
    </row>
    <row r="27" spans="1:17" s="450" customFormat="1">
      <c r="A27" s="448" t="s">
        <v>553</v>
      </c>
      <c r="B27" s="748">
        <f t="shared" ca="1" si="2"/>
        <v>219.53921110254703</v>
      </c>
      <c r="C27" s="449">
        <f t="shared" ca="1" si="3"/>
        <v>0</v>
      </c>
      <c r="D27" s="449">
        <f t="shared" si="4"/>
        <v>354.256491935935</v>
      </c>
      <c r="E27" s="449">
        <f t="shared" si="5"/>
        <v>764.24605797007837</v>
      </c>
      <c r="F27" s="449">
        <f t="shared" si="6"/>
        <v>0</v>
      </c>
      <c r="G27" s="449">
        <f t="shared" si="7"/>
        <v>439271.60552338901</v>
      </c>
      <c r="H27" s="449">
        <f t="shared" si="8"/>
        <v>71608.139058493151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512217.7863428907</v>
      </c>
    </row>
    <row r="28" spans="1:17">
      <c r="A28" s="444" t="s">
        <v>543</v>
      </c>
      <c r="B28" s="445">
        <f t="shared" ca="1" si="2"/>
        <v>1858.2243855396332</v>
      </c>
      <c r="C28" s="445">
        <f t="shared" ca="1" si="3"/>
        <v>0</v>
      </c>
      <c r="D28" s="445">
        <f t="shared" si="4"/>
        <v>0</v>
      </c>
      <c r="E28" s="445">
        <f t="shared" si="5"/>
        <v>0</v>
      </c>
      <c r="F28" s="445">
        <f t="shared" si="6"/>
        <v>0</v>
      </c>
      <c r="G28" s="445">
        <f t="shared" si="7"/>
        <v>9525.3238246567525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11383.548210196386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5188.3962780969205</v>
      </c>
      <c r="C32" s="445">
        <f t="shared" ca="1" si="3"/>
        <v>0</v>
      </c>
      <c r="D32" s="445">
        <f t="shared" si="4"/>
        <v>19174.084972405664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24362.481250502584</v>
      </c>
    </row>
    <row r="33" spans="1:17" s="454" customFormat="1">
      <c r="A33" s="999" t="s">
        <v>547</v>
      </c>
      <c r="B33" s="947">
        <f ca="1">SUM(B22:B32)</f>
        <v>291067.59865912341</v>
      </c>
      <c r="C33" s="947">
        <f t="shared" ref="C33:Q33" ca="1" si="18">SUM(C22:C32)</f>
        <v>2939.906961915553</v>
      </c>
      <c r="D33" s="947">
        <f t="shared" ca="1" si="18"/>
        <v>471815.94440848439</v>
      </c>
      <c r="E33" s="947">
        <f t="shared" si="18"/>
        <v>10719.360565776389</v>
      </c>
      <c r="F33" s="947">
        <f t="shared" ca="1" si="18"/>
        <v>183252.8130085938</v>
      </c>
      <c r="G33" s="947">
        <f t="shared" si="18"/>
        <v>448796.92934804579</v>
      </c>
      <c r="H33" s="947">
        <f t="shared" si="18"/>
        <v>71608.139058493151</v>
      </c>
      <c r="I33" s="947">
        <f t="shared" si="18"/>
        <v>0</v>
      </c>
      <c r="J33" s="947">
        <f t="shared" si="18"/>
        <v>1199.6618955668355</v>
      </c>
      <c r="K33" s="947">
        <f t="shared" si="18"/>
        <v>0</v>
      </c>
      <c r="L33" s="947">
        <f t="shared" ca="1" si="18"/>
        <v>0</v>
      </c>
      <c r="M33" s="947">
        <f t="shared" si="18"/>
        <v>0</v>
      </c>
      <c r="N33" s="947">
        <f t="shared" ca="1" si="18"/>
        <v>0</v>
      </c>
      <c r="O33" s="947">
        <f t="shared" si="18"/>
        <v>0</v>
      </c>
      <c r="P33" s="947">
        <f t="shared" si="18"/>
        <v>0</v>
      </c>
      <c r="Q33" s="947">
        <f t="shared" ca="1" si="18"/>
        <v>1481400.3539059993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102571.78585891335</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55892.946175154677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7069.9530663055821</v>
      </c>
      <c r="C8" s="1016">
        <f>'SEAP template'!C76</f>
        <v>9190.796933694417</v>
      </c>
      <c r="D8" s="1016">
        <f>'SEAP template'!D76</f>
        <v>8054.8813763122616</v>
      </c>
      <c r="E8" s="1016">
        <f>'SEAP template'!E76</f>
        <v>0</v>
      </c>
      <c r="F8" s="1016">
        <f>'SEAP template'!F76</f>
        <v>2757.3764047541968</v>
      </c>
      <c r="G8" s="1016">
        <f>'SEAP template'!G76</f>
        <v>0</v>
      </c>
      <c r="H8" s="1016">
        <f>'SEAP template'!H76</f>
        <v>0</v>
      </c>
      <c r="I8" s="1016">
        <f>'SEAP template'!I76</f>
        <v>8317.2499190676608</v>
      </c>
      <c r="J8" s="1016">
        <f>'SEAP template'!J76</f>
        <v>0</v>
      </c>
      <c r="K8" s="1016">
        <f>'SEAP template'!K76</f>
        <v>0</v>
      </c>
      <c r="L8" s="1016">
        <f>'SEAP template'!L76</f>
        <v>0</v>
      </c>
      <c r="M8" s="1016">
        <f>'SEAP template'!M76</f>
        <v>0</v>
      </c>
      <c r="N8" s="1016">
        <f>'SEAP template'!N76</f>
        <v>0</v>
      </c>
      <c r="O8" s="1016">
        <f>'SEAP template'!O76</f>
        <v>0</v>
      </c>
      <c r="P8" s="1017">
        <f>'SEAP template'!Q76</f>
        <v>2363.3055380844476</v>
      </c>
    </row>
    <row r="9" spans="1:16">
      <c r="A9" s="1019" t="s">
        <v>825</v>
      </c>
      <c r="B9" s="1016">
        <f>'SEAP template'!B77</f>
        <v>1858.5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5310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167393.18510037361</v>
      </c>
      <c r="C10" s="1020">
        <f>SUM(C4:C9)</f>
        <v>9190.796933694417</v>
      </c>
      <c r="D10" s="1020">
        <f t="shared" ref="D10:H10" si="0">SUM(D8:D9)</f>
        <v>8054.8813763122616</v>
      </c>
      <c r="E10" s="1020">
        <f t="shared" si="0"/>
        <v>0</v>
      </c>
      <c r="F10" s="1020">
        <f t="shared" si="0"/>
        <v>2757.3764047541968</v>
      </c>
      <c r="G10" s="1020">
        <f t="shared" si="0"/>
        <v>0</v>
      </c>
      <c r="H10" s="1020">
        <f t="shared" si="0"/>
        <v>0</v>
      </c>
      <c r="I10" s="1020">
        <f>SUM(I8:I9)</f>
        <v>8317.2499190676608</v>
      </c>
      <c r="J10" s="1020">
        <f>SUM(J8:J9)</f>
        <v>5310</v>
      </c>
      <c r="K10" s="1020">
        <f t="shared" ref="K10:L10" si="1">SUM(K8:K9)</f>
        <v>0</v>
      </c>
      <c r="L10" s="1020">
        <f t="shared" si="1"/>
        <v>0</v>
      </c>
      <c r="M10" s="1020">
        <f>SUM(M8:M9)</f>
        <v>0</v>
      </c>
      <c r="N10" s="1020">
        <f>SUM(N8:N9)</f>
        <v>0</v>
      </c>
      <c r="O10" s="1020">
        <f>SUM(O8:O9)</f>
        <v>0</v>
      </c>
      <c r="P10" s="1020">
        <f>SUM(P8:P9)</f>
        <v>2363.3055380844476</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0.19627762568497534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8794.8866133047923</v>
      </c>
      <c r="C17" s="1022">
        <f>'SEAP template'!C87</f>
        <v>11433.175886695204</v>
      </c>
      <c r="D17" s="1017">
        <f>'SEAP template'!D87</f>
        <v>10020.11862368774</v>
      </c>
      <c r="E17" s="1017">
        <f>'SEAP template'!E87</f>
        <v>0</v>
      </c>
      <c r="F17" s="1017">
        <f>'SEAP template'!F87</f>
        <v>3430.1235952458023</v>
      </c>
      <c r="G17" s="1017">
        <f>'SEAP template'!G87</f>
        <v>0</v>
      </c>
      <c r="H17" s="1017">
        <f>'SEAP template'!H87</f>
        <v>0</v>
      </c>
      <c r="I17" s="1017">
        <f>'SEAP template'!I87</f>
        <v>10346.500080932337</v>
      </c>
      <c r="J17" s="1017">
        <f>'SEAP template'!J87</f>
        <v>0</v>
      </c>
      <c r="K17" s="1017">
        <f>'SEAP template'!K87</f>
        <v>0</v>
      </c>
      <c r="L17" s="1017">
        <f>'SEAP template'!L87</f>
        <v>0</v>
      </c>
      <c r="M17" s="1017">
        <f>'SEAP template'!M87</f>
        <v>0</v>
      </c>
      <c r="N17" s="1017">
        <f>'SEAP template'!N87</f>
        <v>0</v>
      </c>
      <c r="O17" s="1017">
        <f>'SEAP template'!O87</f>
        <v>0</v>
      </c>
      <c r="P17" s="1017">
        <f>'SEAP template'!Q87</f>
        <v>2939.906961915553</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8794.8866133047923</v>
      </c>
      <c r="C20" s="1020">
        <f>SUM(C17:C19)</f>
        <v>11433.175886695204</v>
      </c>
      <c r="D20" s="1020">
        <f t="shared" ref="D20:H20" si="2">SUM(D17:D19)</f>
        <v>10020.11862368774</v>
      </c>
      <c r="E20" s="1020">
        <f t="shared" si="2"/>
        <v>0</v>
      </c>
      <c r="F20" s="1020">
        <f t="shared" si="2"/>
        <v>3430.1235952458023</v>
      </c>
      <c r="G20" s="1020">
        <f t="shared" si="2"/>
        <v>0</v>
      </c>
      <c r="H20" s="1020">
        <f t="shared" si="2"/>
        <v>0</v>
      </c>
      <c r="I20" s="1020">
        <f>SUM(I17:I19)</f>
        <v>10346.500080932337</v>
      </c>
      <c r="J20" s="1020">
        <f>SUM(J17:J19)</f>
        <v>0</v>
      </c>
      <c r="K20" s="1020">
        <f t="shared" ref="K20:L20" si="3">SUM(K17:K19)</f>
        <v>0</v>
      </c>
      <c r="L20" s="1020">
        <f t="shared" si="3"/>
        <v>0</v>
      </c>
      <c r="M20" s="1020">
        <f>SUM(M17:M19)</f>
        <v>0</v>
      </c>
      <c r="N20" s="1020">
        <f>SUM(N17:N19)</f>
        <v>0</v>
      </c>
      <c r="O20" s="1020">
        <f>SUM(O17:O19)</f>
        <v>0</v>
      </c>
      <c r="P20" s="1020">
        <f>SUM(P17:P19)</f>
        <v>2939.906961915553</v>
      </c>
    </row>
    <row r="22" spans="1:16">
      <c r="A22" s="455" t="s">
        <v>833</v>
      </c>
      <c r="B22" s="754" t="s">
        <v>827</v>
      </c>
      <c r="C22" s="754">
        <f ca="1">'EF ele_warmte'!B22</f>
        <v>0.14533804025548927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0.19627762568497534</v>
      </c>
      <c r="C17" s="492">
        <f ca="1">'EF ele_warmte'!B22</f>
        <v>0.14533804025548927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2</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3.1266666666666669</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3</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57.2</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0.19627762568497534</v>
      </c>
      <c r="C17" s="492">
        <f ca="1">'EF ele_warmte'!B22</f>
        <v>0.14533804025548927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0.19627762568497534</v>
      </c>
      <c r="C29" s="493">
        <f ca="1">'EF ele_warmte'!B22</f>
        <v>0.14533804025548927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118811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3123.46</v>
      </c>
      <c r="C14" s="324"/>
      <c r="D14" s="324"/>
      <c r="E14" s="324"/>
      <c r="F14" s="324"/>
    </row>
    <row r="15" spans="1:6">
      <c r="A15" s="1291" t="s">
        <v>183</v>
      </c>
      <c r="B15" s="1292">
        <v>39</v>
      </c>
      <c r="C15" s="324"/>
      <c r="D15" s="324"/>
      <c r="E15" s="324"/>
      <c r="F15" s="324"/>
    </row>
    <row r="16" spans="1:6">
      <c r="A16" s="1291" t="s">
        <v>6</v>
      </c>
      <c r="B16" s="1292">
        <v>1445</v>
      </c>
      <c r="C16" s="324"/>
      <c r="D16" s="324"/>
      <c r="E16" s="324"/>
      <c r="F16" s="324"/>
    </row>
    <row r="17" spans="1:6">
      <c r="A17" s="1291" t="s">
        <v>7</v>
      </c>
      <c r="B17" s="1292">
        <v>867</v>
      </c>
      <c r="C17" s="324"/>
      <c r="D17" s="324"/>
      <c r="E17" s="324"/>
      <c r="F17" s="324"/>
    </row>
    <row r="18" spans="1:6">
      <c r="A18" s="1291" t="s">
        <v>8</v>
      </c>
      <c r="B18" s="1292">
        <v>1383</v>
      </c>
      <c r="C18" s="324"/>
      <c r="D18" s="324"/>
      <c r="E18" s="324"/>
      <c r="F18" s="324"/>
    </row>
    <row r="19" spans="1:6">
      <c r="A19" s="1291" t="s">
        <v>9</v>
      </c>
      <c r="B19" s="1292">
        <v>1189</v>
      </c>
      <c r="C19" s="324"/>
      <c r="D19" s="324"/>
      <c r="E19" s="324"/>
      <c r="F19" s="324"/>
    </row>
    <row r="20" spans="1:6">
      <c r="A20" s="1291" t="s">
        <v>10</v>
      </c>
      <c r="B20" s="1292">
        <v>895</v>
      </c>
      <c r="C20" s="324"/>
      <c r="D20" s="324"/>
      <c r="E20" s="324"/>
      <c r="F20" s="324"/>
    </row>
    <row r="21" spans="1:6">
      <c r="A21" s="1291" t="s">
        <v>11</v>
      </c>
      <c r="B21" s="1292">
        <v>868</v>
      </c>
      <c r="C21" s="324"/>
      <c r="D21" s="324"/>
      <c r="E21" s="324"/>
      <c r="F21" s="324"/>
    </row>
    <row r="22" spans="1:6">
      <c r="A22" s="1291" t="s">
        <v>12</v>
      </c>
      <c r="B22" s="1292">
        <v>3077</v>
      </c>
      <c r="C22" s="324"/>
      <c r="D22" s="324"/>
      <c r="E22" s="324"/>
      <c r="F22" s="324"/>
    </row>
    <row r="23" spans="1:6">
      <c r="A23" s="1291" t="s">
        <v>13</v>
      </c>
      <c r="B23" s="1292">
        <v>37</v>
      </c>
      <c r="C23" s="324"/>
      <c r="D23" s="324"/>
      <c r="E23" s="324"/>
      <c r="F23" s="324"/>
    </row>
    <row r="24" spans="1:6">
      <c r="A24" s="1291" t="s">
        <v>14</v>
      </c>
      <c r="B24" s="1292">
        <v>4</v>
      </c>
      <c r="C24" s="324"/>
      <c r="D24" s="324"/>
      <c r="E24" s="324"/>
      <c r="F24" s="324"/>
    </row>
    <row r="25" spans="1:6">
      <c r="A25" s="1291" t="s">
        <v>15</v>
      </c>
      <c r="B25" s="1292">
        <v>259</v>
      </c>
      <c r="C25" s="324"/>
      <c r="D25" s="324"/>
      <c r="E25" s="324"/>
      <c r="F25" s="324"/>
    </row>
    <row r="26" spans="1:6">
      <c r="A26" s="1291" t="s">
        <v>16</v>
      </c>
      <c r="B26" s="1292">
        <v>393</v>
      </c>
      <c r="C26" s="324"/>
      <c r="D26" s="324"/>
      <c r="E26" s="324"/>
      <c r="F26" s="324"/>
    </row>
    <row r="27" spans="1:6">
      <c r="A27" s="1291" t="s">
        <v>17</v>
      </c>
      <c r="B27" s="1292">
        <v>11</v>
      </c>
      <c r="C27" s="324"/>
      <c r="D27" s="324"/>
      <c r="E27" s="324"/>
      <c r="F27" s="324"/>
    </row>
    <row r="28" spans="1:6" s="43" customFormat="1">
      <c r="A28" s="1293" t="s">
        <v>18</v>
      </c>
      <c r="B28" s="1294">
        <v>6</v>
      </c>
      <c r="C28" s="330"/>
      <c r="D28" s="330"/>
      <c r="E28" s="330"/>
      <c r="F28" s="330"/>
    </row>
    <row r="29" spans="1:6">
      <c r="A29" s="1293" t="s">
        <v>722</v>
      </c>
      <c r="B29" s="1294">
        <v>437</v>
      </c>
      <c r="C29" s="330"/>
      <c r="D29" s="330"/>
      <c r="E29" s="330"/>
      <c r="F29" s="330"/>
    </row>
    <row r="30" spans="1:6">
      <c r="A30" s="1286" t="s">
        <v>723</v>
      </c>
      <c r="B30" s="1295">
        <v>97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7</v>
      </c>
      <c r="F35" s="1292">
        <v>95508.814932596302</v>
      </c>
    </row>
    <row r="36" spans="1:6">
      <c r="A36" s="1291" t="s">
        <v>24</v>
      </c>
      <c r="B36" s="1291" t="s">
        <v>26</v>
      </c>
      <c r="C36" s="1292">
        <v>13</v>
      </c>
      <c r="D36" s="1292">
        <v>1598657.6673121301</v>
      </c>
      <c r="E36" s="1292">
        <v>49</v>
      </c>
      <c r="F36" s="1292">
        <v>1243891.06832056</v>
      </c>
    </row>
    <row r="37" spans="1:6">
      <c r="A37" s="1291" t="s">
        <v>24</v>
      </c>
      <c r="B37" s="1291" t="s">
        <v>27</v>
      </c>
      <c r="C37" s="1292">
        <v>0</v>
      </c>
      <c r="D37" s="1292">
        <v>0</v>
      </c>
      <c r="E37" s="1292">
        <v>0</v>
      </c>
      <c r="F37" s="1292">
        <v>0</v>
      </c>
    </row>
    <row r="38" spans="1:6">
      <c r="A38" s="1291" t="s">
        <v>24</v>
      </c>
      <c r="B38" s="1291" t="s">
        <v>28</v>
      </c>
      <c r="C38" s="1292">
        <v>2</v>
      </c>
      <c r="D38" s="1292">
        <v>3671339.6950372402</v>
      </c>
      <c r="E38" s="1292">
        <v>18</v>
      </c>
      <c r="F38" s="1292">
        <v>2766301.2824636302</v>
      </c>
    </row>
    <row r="39" spans="1:6">
      <c r="A39" s="1291" t="s">
        <v>29</v>
      </c>
      <c r="B39" s="1291" t="s">
        <v>30</v>
      </c>
      <c r="C39" s="1292">
        <v>89503</v>
      </c>
      <c r="D39" s="1292">
        <v>1240920155.6840441</v>
      </c>
      <c r="E39" s="1292">
        <v>116777</v>
      </c>
      <c r="F39" s="1292">
        <v>346996146.27158058</v>
      </c>
    </row>
    <row r="40" spans="1:6">
      <c r="A40" s="1291" t="s">
        <v>29</v>
      </c>
      <c r="B40" s="1291" t="s">
        <v>28</v>
      </c>
      <c r="C40" s="1292">
        <v>2</v>
      </c>
      <c r="D40" s="1292">
        <v>90673.021673082301</v>
      </c>
      <c r="E40" s="1292">
        <v>3</v>
      </c>
      <c r="F40" s="1292">
        <v>40747.3548869308</v>
      </c>
    </row>
    <row r="41" spans="1:6">
      <c r="A41" s="1291" t="s">
        <v>31</v>
      </c>
      <c r="B41" s="1291" t="s">
        <v>32</v>
      </c>
      <c r="C41" s="1292">
        <v>961</v>
      </c>
      <c r="D41" s="1292">
        <v>25619848.280666899</v>
      </c>
      <c r="E41" s="1292">
        <v>1733</v>
      </c>
      <c r="F41" s="1292">
        <v>23778670.2879535</v>
      </c>
    </row>
    <row r="42" spans="1:6">
      <c r="A42" s="1291" t="s">
        <v>31</v>
      </c>
      <c r="B42" s="1291" t="s">
        <v>33</v>
      </c>
      <c r="C42" s="1292">
        <v>13</v>
      </c>
      <c r="D42" s="1292">
        <v>45002341.4280551</v>
      </c>
      <c r="E42" s="1292">
        <v>26</v>
      </c>
      <c r="F42" s="1292">
        <v>40578042.855426997</v>
      </c>
    </row>
    <row r="43" spans="1:6">
      <c r="A43" s="1291" t="s">
        <v>31</v>
      </c>
      <c r="B43" s="1291" t="s">
        <v>34</v>
      </c>
      <c r="C43" s="1292">
        <v>0</v>
      </c>
      <c r="D43" s="1292">
        <v>0</v>
      </c>
      <c r="E43" s="1292">
        <v>0</v>
      </c>
      <c r="F43" s="1292">
        <v>0</v>
      </c>
    </row>
    <row r="44" spans="1:6">
      <c r="A44" s="1291" t="s">
        <v>31</v>
      </c>
      <c r="B44" s="1291" t="s">
        <v>35</v>
      </c>
      <c r="C44" s="1292">
        <v>40</v>
      </c>
      <c r="D44" s="1292">
        <v>16050059.7448075</v>
      </c>
      <c r="E44" s="1292">
        <v>174</v>
      </c>
      <c r="F44" s="1292">
        <v>26828313.432765</v>
      </c>
    </row>
    <row r="45" spans="1:6">
      <c r="A45" s="1291" t="s">
        <v>31</v>
      </c>
      <c r="B45" s="1291" t="s">
        <v>36</v>
      </c>
      <c r="C45" s="1292">
        <v>6</v>
      </c>
      <c r="D45" s="1292">
        <v>207576.94073885799</v>
      </c>
      <c r="E45" s="1292">
        <v>36</v>
      </c>
      <c r="F45" s="1292">
        <v>41855213.405825898</v>
      </c>
    </row>
    <row r="46" spans="1:6">
      <c r="A46" s="1291" t="s">
        <v>31</v>
      </c>
      <c r="B46" s="1291" t="s">
        <v>37</v>
      </c>
      <c r="C46" s="1292">
        <v>0</v>
      </c>
      <c r="D46" s="1292">
        <v>0</v>
      </c>
      <c r="E46" s="1292">
        <v>0</v>
      </c>
      <c r="F46" s="1292">
        <v>0</v>
      </c>
    </row>
    <row r="47" spans="1:6">
      <c r="A47" s="1291" t="s">
        <v>31</v>
      </c>
      <c r="B47" s="1291" t="s">
        <v>38</v>
      </c>
      <c r="C47" s="1292">
        <v>77</v>
      </c>
      <c r="D47" s="1292">
        <v>3185761.02946305</v>
      </c>
      <c r="E47" s="1292">
        <v>114</v>
      </c>
      <c r="F47" s="1292">
        <v>14995670.356626101</v>
      </c>
    </row>
    <row r="48" spans="1:6">
      <c r="A48" s="1291" t="s">
        <v>31</v>
      </c>
      <c r="B48" s="1291" t="s">
        <v>28</v>
      </c>
      <c r="C48" s="1292">
        <v>305</v>
      </c>
      <c r="D48" s="1292">
        <v>212024627.10410801</v>
      </c>
      <c r="E48" s="1292">
        <v>367</v>
      </c>
      <c r="F48" s="1292">
        <v>123039309.359456</v>
      </c>
    </row>
    <row r="49" spans="1:6">
      <c r="A49" s="1291" t="s">
        <v>31</v>
      </c>
      <c r="B49" s="1291" t="s">
        <v>39</v>
      </c>
      <c r="C49" s="1292">
        <v>20</v>
      </c>
      <c r="D49" s="1292">
        <v>505996.53883286298</v>
      </c>
      <c r="E49" s="1292">
        <v>29</v>
      </c>
      <c r="F49" s="1292">
        <v>328172.75788908103</v>
      </c>
    </row>
    <row r="50" spans="1:6">
      <c r="A50" s="1291" t="s">
        <v>31</v>
      </c>
      <c r="B50" s="1291" t="s">
        <v>40</v>
      </c>
      <c r="C50" s="1292">
        <v>131</v>
      </c>
      <c r="D50" s="1292">
        <v>27840684.613056101</v>
      </c>
      <c r="E50" s="1292">
        <v>209</v>
      </c>
      <c r="F50" s="1292">
        <v>65679954.889549702</v>
      </c>
    </row>
    <row r="51" spans="1:6">
      <c r="A51" s="1291" t="s">
        <v>41</v>
      </c>
      <c r="B51" s="1291" t="s">
        <v>42</v>
      </c>
      <c r="C51" s="1292">
        <v>63</v>
      </c>
      <c r="D51" s="1292">
        <v>3000944.40980337</v>
      </c>
      <c r="E51" s="1292">
        <v>240</v>
      </c>
      <c r="F51" s="1292">
        <v>2038450.42551795</v>
      </c>
    </row>
    <row r="52" spans="1:6">
      <c r="A52" s="1291" t="s">
        <v>41</v>
      </c>
      <c r="B52" s="1291" t="s">
        <v>28</v>
      </c>
      <c r="C52" s="1292">
        <v>34</v>
      </c>
      <c r="D52" s="1292">
        <v>2712117.7346491902</v>
      </c>
      <c r="E52" s="1292">
        <v>65</v>
      </c>
      <c r="F52" s="1292">
        <v>1449986.04078328</v>
      </c>
    </row>
    <row r="53" spans="1:6">
      <c r="A53" s="1291" t="s">
        <v>43</v>
      </c>
      <c r="B53" s="1291" t="s">
        <v>44</v>
      </c>
      <c r="C53" s="1292">
        <v>3950</v>
      </c>
      <c r="D53" s="1292">
        <v>94921212.734681502</v>
      </c>
      <c r="E53" s="1292">
        <v>7012</v>
      </c>
      <c r="F53" s="1292">
        <v>26433966.9893107</v>
      </c>
    </row>
    <row r="54" spans="1:6">
      <c r="A54" s="1291" t="s">
        <v>45</v>
      </c>
      <c r="B54" s="1291" t="s">
        <v>46</v>
      </c>
      <c r="C54" s="1292">
        <v>0</v>
      </c>
      <c r="D54" s="1292">
        <v>0</v>
      </c>
      <c r="E54" s="1292">
        <v>13</v>
      </c>
      <c r="F54" s="1292">
        <v>13783724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926</v>
      </c>
      <c r="D57" s="1292">
        <v>64890015.770419501</v>
      </c>
      <c r="E57" s="1292">
        <v>1431</v>
      </c>
      <c r="F57" s="1292">
        <v>52869832.658602901</v>
      </c>
    </row>
    <row r="58" spans="1:6">
      <c r="A58" s="1291" t="s">
        <v>48</v>
      </c>
      <c r="B58" s="1291" t="s">
        <v>50</v>
      </c>
      <c r="C58" s="1292">
        <v>830</v>
      </c>
      <c r="D58" s="1292">
        <v>91821660.613135993</v>
      </c>
      <c r="E58" s="1292">
        <v>1141</v>
      </c>
      <c r="F58" s="1292">
        <v>97005130.361188307</v>
      </c>
    </row>
    <row r="59" spans="1:6">
      <c r="A59" s="1291" t="s">
        <v>48</v>
      </c>
      <c r="B59" s="1291" t="s">
        <v>51</v>
      </c>
      <c r="C59" s="1292">
        <v>2000</v>
      </c>
      <c r="D59" s="1292">
        <v>85204745.737467602</v>
      </c>
      <c r="E59" s="1292">
        <v>3498</v>
      </c>
      <c r="F59" s="1292">
        <v>158456865.68645799</v>
      </c>
    </row>
    <row r="60" spans="1:6">
      <c r="A60" s="1291" t="s">
        <v>48</v>
      </c>
      <c r="B60" s="1291" t="s">
        <v>52</v>
      </c>
      <c r="C60" s="1292">
        <v>1678</v>
      </c>
      <c r="D60" s="1292">
        <v>169876444.03409401</v>
      </c>
      <c r="E60" s="1292">
        <v>2359</v>
      </c>
      <c r="F60" s="1292">
        <v>79972341.937194407</v>
      </c>
    </row>
    <row r="61" spans="1:6">
      <c r="A61" s="1291" t="s">
        <v>48</v>
      </c>
      <c r="B61" s="1291" t="s">
        <v>53</v>
      </c>
      <c r="C61" s="1292">
        <v>5072</v>
      </c>
      <c r="D61" s="1292">
        <v>315545965.85424</v>
      </c>
      <c r="E61" s="1292">
        <v>9067</v>
      </c>
      <c r="F61" s="1292">
        <v>178121299.41934699</v>
      </c>
    </row>
    <row r="62" spans="1:6">
      <c r="A62" s="1291" t="s">
        <v>48</v>
      </c>
      <c r="B62" s="1291" t="s">
        <v>54</v>
      </c>
      <c r="C62" s="1292">
        <v>282</v>
      </c>
      <c r="D62" s="1292">
        <v>97407237.038345501</v>
      </c>
      <c r="E62" s="1292">
        <v>288</v>
      </c>
      <c r="F62" s="1292">
        <v>53681464.5681694</v>
      </c>
    </row>
    <row r="63" spans="1:6">
      <c r="A63" s="1291" t="s">
        <v>48</v>
      </c>
      <c r="B63" s="1291" t="s">
        <v>28</v>
      </c>
      <c r="C63" s="1292">
        <v>829</v>
      </c>
      <c r="D63" s="1292">
        <v>100446292.235525</v>
      </c>
      <c r="E63" s="1292">
        <v>888</v>
      </c>
      <c r="F63" s="1292">
        <v>86134158.765702605</v>
      </c>
    </row>
    <row r="64" spans="1:6">
      <c r="A64" s="1291" t="s">
        <v>55</v>
      </c>
      <c r="B64" s="1291" t="s">
        <v>56</v>
      </c>
      <c r="C64" s="1292">
        <v>0</v>
      </c>
      <c r="D64" s="1292">
        <v>0</v>
      </c>
      <c r="E64" s="1292">
        <v>0</v>
      </c>
      <c r="F64" s="1292">
        <v>0</v>
      </c>
    </row>
    <row r="65" spans="1:6">
      <c r="A65" s="1291" t="s">
        <v>55</v>
      </c>
      <c r="B65" s="1291" t="s">
        <v>28</v>
      </c>
      <c r="C65" s="1292">
        <v>29</v>
      </c>
      <c r="D65" s="1292">
        <v>3501283.23877365</v>
      </c>
      <c r="E65" s="1292">
        <v>25</v>
      </c>
      <c r="F65" s="1292">
        <v>1601673.91056261</v>
      </c>
    </row>
    <row r="66" spans="1:6">
      <c r="A66" s="1291" t="s">
        <v>55</v>
      </c>
      <c r="B66" s="1291" t="s">
        <v>57</v>
      </c>
      <c r="C66" s="1292">
        <v>0</v>
      </c>
      <c r="D66" s="1292">
        <v>0</v>
      </c>
      <c r="E66" s="1292">
        <v>148</v>
      </c>
      <c r="F66" s="1292">
        <v>8212709.2558334796</v>
      </c>
    </row>
    <row r="67" spans="1:6">
      <c r="A67" s="1293" t="s">
        <v>55</v>
      </c>
      <c r="B67" s="1293" t="s">
        <v>58</v>
      </c>
      <c r="C67" s="1292">
        <v>0</v>
      </c>
      <c r="D67" s="1292">
        <v>0</v>
      </c>
      <c r="E67" s="1292">
        <v>0</v>
      </c>
      <c r="F67" s="1292">
        <v>0</v>
      </c>
    </row>
    <row r="68" spans="1:6">
      <c r="A68" s="1286" t="s">
        <v>55</v>
      </c>
      <c r="B68" s="1286" t="s">
        <v>59</v>
      </c>
      <c r="C68" s="1295">
        <v>48</v>
      </c>
      <c r="D68" s="1295">
        <v>3296242.2767316401</v>
      </c>
      <c r="E68" s="1295">
        <v>140</v>
      </c>
      <c r="F68" s="1295">
        <v>13997204.358342201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556593838</v>
      </c>
      <c r="E73" s="443"/>
      <c r="F73" s="324"/>
    </row>
    <row r="74" spans="1:6">
      <c r="A74" s="1291" t="s">
        <v>63</v>
      </c>
      <c r="B74" s="1291" t="s">
        <v>648</v>
      </c>
      <c r="C74" s="1305" t="s">
        <v>650</v>
      </c>
      <c r="D74" s="1306">
        <v>82721670.5</v>
      </c>
      <c r="E74" s="443"/>
      <c r="F74" s="324"/>
    </row>
    <row r="75" spans="1:6">
      <c r="A75" s="1291" t="s">
        <v>64</v>
      </c>
      <c r="B75" s="1291" t="s">
        <v>647</v>
      </c>
      <c r="C75" s="1305" t="s">
        <v>651</v>
      </c>
      <c r="D75" s="1306">
        <v>338206965</v>
      </c>
      <c r="E75" s="443"/>
      <c r="F75" s="324"/>
    </row>
    <row r="76" spans="1:6">
      <c r="A76" s="1291" t="s">
        <v>64</v>
      </c>
      <c r="B76" s="1291" t="s">
        <v>648</v>
      </c>
      <c r="C76" s="1305" t="s">
        <v>652</v>
      </c>
      <c r="D76" s="1306">
        <v>26080261.5</v>
      </c>
      <c r="E76" s="443"/>
      <c r="F76" s="324"/>
    </row>
    <row r="77" spans="1:6">
      <c r="A77" s="1291" t="s">
        <v>65</v>
      </c>
      <c r="B77" s="1291" t="s">
        <v>647</v>
      </c>
      <c r="C77" s="1305" t="s">
        <v>653</v>
      </c>
      <c r="D77" s="1306">
        <v>1009224353</v>
      </c>
      <c r="E77" s="443"/>
      <c r="F77" s="324"/>
    </row>
    <row r="78" spans="1:6">
      <c r="A78" s="1286" t="s">
        <v>65</v>
      </c>
      <c r="B78" s="1286" t="s">
        <v>648</v>
      </c>
      <c r="C78" s="1286" t="s">
        <v>654</v>
      </c>
      <c r="D78" s="1307">
        <v>162623337</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10365287</v>
      </c>
      <c r="C83" s="443"/>
      <c r="D83" s="324"/>
      <c r="E83" s="324"/>
      <c r="F83" s="324"/>
    </row>
    <row r="84" spans="1:6">
      <c r="A84" s="1286" t="s">
        <v>329</v>
      </c>
      <c r="B84" s="1307">
        <v>2578031</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102571.78585891335</v>
      </c>
      <c r="C90" s="324"/>
      <c r="D90" s="324"/>
      <c r="E90" s="324"/>
      <c r="F90" s="324"/>
    </row>
    <row r="91" spans="1:6">
      <c r="A91" s="1291" t="s">
        <v>67</v>
      </c>
      <c r="B91" s="1292">
        <v>20165.697442772373</v>
      </c>
      <c r="C91" s="324"/>
      <c r="D91" s="324"/>
      <c r="E91" s="324"/>
      <c r="F91" s="324"/>
    </row>
    <row r="92" spans="1:6">
      <c r="A92" s="1286" t="s">
        <v>68</v>
      </c>
      <c r="B92" s="1287">
        <v>35727.248732382301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62627</v>
      </c>
      <c r="C97" s="324"/>
      <c r="D97" s="324"/>
      <c r="E97" s="324"/>
      <c r="F97" s="324"/>
    </row>
    <row r="98" spans="1:6">
      <c r="A98" s="1291" t="s">
        <v>71</v>
      </c>
      <c r="B98" s="1292">
        <v>127</v>
      </c>
      <c r="C98" s="324"/>
      <c r="D98" s="324"/>
      <c r="E98" s="324"/>
      <c r="F98" s="324"/>
    </row>
    <row r="99" spans="1:6">
      <c r="A99" s="1291" t="s">
        <v>72</v>
      </c>
      <c r="B99" s="1292">
        <v>385</v>
      </c>
      <c r="C99" s="324"/>
      <c r="D99" s="324"/>
      <c r="E99" s="324"/>
      <c r="F99" s="324"/>
    </row>
    <row r="100" spans="1:6">
      <c r="A100" s="1291" t="s">
        <v>73</v>
      </c>
      <c r="B100" s="1292">
        <v>8623</v>
      </c>
      <c r="C100" s="324"/>
      <c r="D100" s="324"/>
      <c r="E100" s="324"/>
      <c r="F100" s="324"/>
    </row>
    <row r="101" spans="1:6">
      <c r="A101" s="1291" t="s">
        <v>74</v>
      </c>
      <c r="B101" s="1292">
        <v>396</v>
      </c>
      <c r="C101" s="324"/>
      <c r="D101" s="324"/>
      <c r="E101" s="324"/>
      <c r="F101" s="324"/>
    </row>
    <row r="102" spans="1:6">
      <c r="A102" s="1291" t="s">
        <v>75</v>
      </c>
      <c r="B102" s="1292">
        <v>4616</v>
      </c>
      <c r="C102" s="324"/>
      <c r="D102" s="324"/>
      <c r="E102" s="324"/>
      <c r="F102" s="324"/>
    </row>
    <row r="103" spans="1:6">
      <c r="A103" s="1291" t="s">
        <v>76</v>
      </c>
      <c r="B103" s="1292">
        <v>1823</v>
      </c>
      <c r="C103" s="324"/>
      <c r="D103" s="324"/>
      <c r="E103" s="324"/>
      <c r="F103" s="324"/>
    </row>
    <row r="104" spans="1:6">
      <c r="A104" s="1291" t="s">
        <v>77</v>
      </c>
      <c r="B104" s="1292">
        <v>21695</v>
      </c>
      <c r="C104" s="324"/>
      <c r="D104" s="324"/>
      <c r="E104" s="324"/>
      <c r="F104" s="324"/>
    </row>
    <row r="105" spans="1:6">
      <c r="A105" s="1286" t="s">
        <v>78</v>
      </c>
      <c r="B105" s="1295">
        <v>311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2</v>
      </c>
      <c r="C110" s="324"/>
      <c r="D110" s="324"/>
      <c r="E110" s="324"/>
      <c r="F110" s="324"/>
    </row>
    <row r="111" spans="1:6">
      <c r="A111" s="1312" t="s">
        <v>639</v>
      </c>
      <c r="B111" s="1313">
        <v>3</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3</v>
      </c>
      <c r="C121" s="1292">
        <v>0</v>
      </c>
      <c r="D121" s="324"/>
      <c r="E121" s="324"/>
      <c r="F121" s="324"/>
    </row>
    <row r="122" spans="1:6">
      <c r="A122" s="1291" t="s">
        <v>86</v>
      </c>
      <c r="B122" s="1292">
        <v>1</v>
      </c>
      <c r="C122" s="1292">
        <v>0</v>
      </c>
      <c r="D122" s="324"/>
      <c r="E122" s="324"/>
      <c r="F122" s="324"/>
    </row>
    <row r="123" spans="1:6">
      <c r="A123" s="1291" t="s">
        <v>87</v>
      </c>
      <c r="B123" s="1292">
        <v>215</v>
      </c>
      <c r="C123" s="1292">
        <v>268</v>
      </c>
      <c r="D123" s="324"/>
      <c r="E123" s="324"/>
      <c r="F123" s="324"/>
    </row>
    <row r="124" spans="1:6" s="43" customFormat="1">
      <c r="A124" s="1293" t="s">
        <v>88</v>
      </c>
      <c r="B124" s="1314">
        <v>4</v>
      </c>
      <c r="C124" s="1314">
        <v>7</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1271</v>
      </c>
      <c r="C129" s="324"/>
      <c r="D129" s="324"/>
      <c r="E129" s="324"/>
      <c r="F129" s="324"/>
    </row>
    <row r="130" spans="1:6">
      <c r="A130" s="1291" t="s">
        <v>289</v>
      </c>
      <c r="B130" s="1292">
        <v>30</v>
      </c>
      <c r="C130" s="324"/>
      <c r="D130" s="324"/>
      <c r="E130" s="324"/>
      <c r="F130" s="324"/>
    </row>
    <row r="131" spans="1:6">
      <c r="A131" s="1291" t="s">
        <v>290</v>
      </c>
      <c r="B131" s="1292">
        <v>17</v>
      </c>
      <c r="C131" s="324"/>
      <c r="D131" s="324"/>
      <c r="E131" s="324"/>
      <c r="F131" s="324"/>
    </row>
    <row r="132" spans="1:6">
      <c r="A132" s="1286" t="s">
        <v>291</v>
      </c>
      <c r="B132" s="1287">
        <v>133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1482938.2495500811</v>
      </c>
      <c r="C3" s="43" t="s">
        <v>169</v>
      </c>
      <c r="D3" s="43"/>
      <c r="E3" s="154"/>
      <c r="F3" s="43"/>
      <c r="G3" s="43"/>
      <c r="H3" s="43"/>
      <c r="I3" s="43"/>
      <c r="J3" s="43"/>
      <c r="K3" s="96"/>
    </row>
    <row r="4" spans="1:11">
      <c r="A4" s="352" t="s">
        <v>170</v>
      </c>
      <c r="B4" s="49">
        <f>IF(ISERROR('SEAP template'!B78+'SEAP template'!C78),0,'SEAP template'!B78+'SEAP template'!C78)</f>
        <v>176583.98203406803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2363.3055380844476</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0.19627762568497534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2939.906961915553</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20228.0625</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0.14533804025548927</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13783.724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13783.724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0.19627762568497534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2705.436619817011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347036.8936264675</v>
      </c>
      <c r="C5" s="17">
        <f>IF(ISERROR('Eigen informatie GS &amp; warmtenet'!B57),0,'Eigen informatie GS &amp; warmtenet'!B57)</f>
        <v>0</v>
      </c>
      <c r="D5" s="30">
        <f>(SUM(HH_hh_gas_kWh,HH_rest_gas_kWh)/1000)*0.902</f>
        <v>1119391.7674925569</v>
      </c>
      <c r="E5" s="17">
        <f>B32*B41</f>
        <v>19444.745664224341</v>
      </c>
      <c r="F5" s="17">
        <f>B36*B45</f>
        <v>492642.6936890083</v>
      </c>
      <c r="G5" s="18"/>
      <c r="H5" s="17"/>
      <c r="I5" s="17"/>
      <c r="J5" s="17">
        <f>B35*B44+C35*C44</f>
        <v>2370.5413718552618</v>
      </c>
      <c r="K5" s="17"/>
      <c r="L5" s="17"/>
      <c r="M5" s="17"/>
      <c r="N5" s="17">
        <f>B34*B43+C34*C43</f>
        <v>167668.84700558789</v>
      </c>
      <c r="O5" s="17">
        <f>B52*B53*B54</f>
        <v>2416.9133333333339</v>
      </c>
      <c r="P5" s="17">
        <f>B60*B61*B62/1000-B60*B61*B62/1000/B63</f>
        <v>6711.4666666666672</v>
      </c>
    </row>
    <row r="6" spans="1:16">
      <c r="A6" s="16" t="s">
        <v>613</v>
      </c>
      <c r="B6" s="756">
        <f>kWh_PV_kleiner_dan_10kW</f>
        <v>20165.697442772373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367202.59106923989</v>
      </c>
      <c r="C8" s="21">
        <f>C5</f>
        <v>0</v>
      </c>
      <c r="D8" s="21">
        <f>D5</f>
        <v>1119391.7674925569</v>
      </c>
      <c r="E8" s="21">
        <f>E5</f>
        <v>19444.745664224341</v>
      </c>
      <c r="F8" s="21">
        <f>F5</f>
        <v>492642.6936890083</v>
      </c>
      <c r="G8" s="21"/>
      <c r="H8" s="21"/>
      <c r="I8" s="21"/>
      <c r="J8" s="21">
        <f>J5</f>
        <v>2370.5413718552618</v>
      </c>
      <c r="K8" s="21"/>
      <c r="L8" s="21">
        <f>L5</f>
        <v>0</v>
      </c>
      <c r="M8" s="21">
        <f>M5</f>
        <v>0</v>
      </c>
      <c r="N8" s="21">
        <f>N5</f>
        <v>167668.84700558789</v>
      </c>
      <c r="O8" s="21">
        <f>O5</f>
        <v>2416.9133333333339</v>
      </c>
      <c r="P8" s="21">
        <f>P5</f>
        <v>6711.4666666666672</v>
      </c>
    </row>
    <row r="9" spans="1:16">
      <c r="B9" s="19"/>
      <c r="C9" s="19"/>
      <c r="D9" s="254"/>
      <c r="E9" s="19"/>
      <c r="F9" s="19"/>
      <c r="G9" s="19"/>
      <c r="H9" s="19"/>
      <c r="I9" s="19"/>
      <c r="J9" s="19"/>
      <c r="K9" s="19"/>
      <c r="L9" s="19"/>
      <c r="M9" s="19"/>
      <c r="N9" s="19"/>
      <c r="O9" s="19"/>
      <c r="P9" s="19"/>
    </row>
    <row r="10" spans="1:16">
      <c r="A10" s="24" t="s">
        <v>213</v>
      </c>
      <c r="B10" s="25">
        <f ca="1">'EF ele_warmte'!B12</f>
        <v>0.19627762568497534</v>
      </c>
      <c r="C10" s="25">
        <f ca="1">'EF ele_warmte'!B22</f>
        <v>0.14533804025548927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72073.652720441329</v>
      </c>
      <c r="C12" s="23">
        <f ca="1">C10*C8</f>
        <v>0</v>
      </c>
      <c r="D12" s="23">
        <f>D8*D10</f>
        <v>226117.13703349652</v>
      </c>
      <c r="E12" s="23">
        <f>E10*E8</f>
        <v>4413.9572657789258</v>
      </c>
      <c r="F12" s="23">
        <f>F10*F8</f>
        <v>131535.59921496522</v>
      </c>
      <c r="G12" s="23"/>
      <c r="H12" s="23"/>
      <c r="I12" s="23"/>
      <c r="J12" s="23">
        <f>J10*J8</f>
        <v>839.17164563676261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118811</v>
      </c>
      <c r="C26" s="36"/>
      <c r="D26" s="225"/>
    </row>
    <row r="27" spans="1:5" s="15" customFormat="1">
      <c r="A27" s="227" t="s">
        <v>768</v>
      </c>
      <c r="B27" s="37">
        <f>SUM(HH_hh_gas_aantal,HH_rest_gas_aantal)</f>
        <v>89505</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85029.75</v>
      </c>
      <c r="C31" s="34" t="s">
        <v>110</v>
      </c>
      <c r="D31" s="171"/>
    </row>
    <row r="32" spans="1:5">
      <c r="A32" s="168" t="s">
        <v>72</v>
      </c>
      <c r="B32" s="33">
        <f>IF((B21*($B$26-($B$27-0.05*$B$27)-$B$60))&lt;0,0,B21*($B$26-($B$27-0.05*$B$27)-$B$60))</f>
        <v>367.73827405782748</v>
      </c>
      <c r="C32" s="34" t="s">
        <v>110</v>
      </c>
      <c r="D32" s="171"/>
    </row>
    <row r="33" spans="1:6">
      <c r="A33" s="168" t="s">
        <v>73</v>
      </c>
      <c r="B33" s="33">
        <f>IF((B22*($B$26-($B$27-0.05*$B$27)-$B$60))&lt;0,0,B22*($B$26-($B$27-0.05*$B$27)-$B$60))</f>
        <v>7645.5875329691207</v>
      </c>
      <c r="C33" s="34" t="s">
        <v>110</v>
      </c>
      <c r="D33" s="171"/>
    </row>
    <row r="34" spans="1:6">
      <c r="A34" s="168" t="s">
        <v>74</v>
      </c>
      <c r="B34" s="33">
        <f>IF((B24*($B$26-($B$27-0.05*$B$27)-$B$60))&lt;0,0,B24*($B$26-($B$27-0.05*$B$27)-$B$60))</f>
        <v>1520.435564665484</v>
      </c>
      <c r="C34" s="33">
        <f>B26*C24</f>
        <v>24320.083244290257</v>
      </c>
      <c r="D34" s="230"/>
    </row>
    <row r="35" spans="1:6">
      <c r="A35" s="168" t="s">
        <v>76</v>
      </c>
      <c r="B35" s="33">
        <f>IF((B19*($B$26-($B$27-0.05*$B$27)-$B$60))&lt;0,0,B19*($B$26-($B$27-0.05*$B$27)-$B$60))</f>
        <v>278.33821999454642</v>
      </c>
      <c r="C35" s="33">
        <f>B35/2</f>
        <v>139.16910999727321</v>
      </c>
      <c r="D35" s="230"/>
    </row>
    <row r="36" spans="1:6">
      <c r="A36" s="168" t="s">
        <v>77</v>
      </c>
      <c r="B36" s="33">
        <f>IF((B18*($B$26-($B$27-0.05*$B$27)-$B$60))&lt;0,0,B18*($B$26-($B$27-0.05*$B$27)-$B$60))</f>
        <v>23617.150408313024</v>
      </c>
      <c r="C36" s="34" t="s">
        <v>110</v>
      </c>
      <c r="D36" s="171"/>
    </row>
    <row r="37" spans="1:6">
      <c r="A37" s="168" t="s">
        <v>78</v>
      </c>
      <c r="B37" s="33">
        <f>B60</f>
        <v>352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1546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352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706241.09339666262</v>
      </c>
      <c r="C5" s="17">
        <f>IF(ISERROR('Eigen informatie GS &amp; warmtenet'!B58),0,'Eigen informatie GS &amp; warmtenet'!B58)</f>
        <v>0</v>
      </c>
      <c r="D5" s="30">
        <f>SUM(D6:D12)</f>
        <v>834523.50987747125</v>
      </c>
      <c r="E5" s="17">
        <f>SUM(E6:E12)</f>
        <v>8842.1897319057844</v>
      </c>
      <c r="F5" s="17">
        <f>SUM(F6:F12)</f>
        <v>119958.26661513177</v>
      </c>
      <c r="G5" s="18"/>
      <c r="H5" s="17"/>
      <c r="I5" s="17"/>
      <c r="J5" s="17">
        <f>SUM(J6:J12)</f>
        <v>1.3561728621740694</v>
      </c>
      <c r="K5" s="17"/>
      <c r="L5" s="17"/>
      <c r="M5" s="17"/>
      <c r="N5" s="17">
        <f>SUM(N6:N12)</f>
        <v>55300.579719776186</v>
      </c>
      <c r="O5" s="17">
        <f>B38*B39*B40</f>
        <v>46.9</v>
      </c>
      <c r="P5" s="17">
        <f>B46*B47*B48/1000-B46*B47*B48/1000/B49</f>
        <v>400.4</v>
      </c>
      <c r="R5" s="32"/>
    </row>
    <row r="6" spans="1:18">
      <c r="A6" s="32" t="s">
        <v>53</v>
      </c>
      <c r="B6" s="37">
        <f>B26</f>
        <v>178121.29941934699</v>
      </c>
      <c r="C6" s="33"/>
      <c r="D6" s="37">
        <f>IF(ISERROR(TER_kantoor_gas_kWh/1000),0,TER_kantoor_gas_kWh/1000)*0.902</f>
        <v>284622.46120052447</v>
      </c>
      <c r="E6" s="33">
        <f>$C$26*'E Balans VL '!I12/100/3.6*1000000</f>
        <v>1.1164050625443929</v>
      </c>
      <c r="F6" s="33">
        <f>$C$26*('E Balans VL '!L12+'E Balans VL '!N12)/100/3.6*1000000</f>
        <v>26766.654118929328</v>
      </c>
      <c r="G6" s="34"/>
      <c r="H6" s="33"/>
      <c r="I6" s="33"/>
      <c r="J6" s="33">
        <f>$C$26*('E Balans VL '!D12+'E Balans VL '!E12)/100/3.6*1000000</f>
        <v>0</v>
      </c>
      <c r="K6" s="33"/>
      <c r="L6" s="33"/>
      <c r="M6" s="33"/>
      <c r="N6" s="33">
        <f>$C$26*'E Balans VL '!Y12/100/3.6*1000000</f>
        <v>170.34661351369098</v>
      </c>
      <c r="O6" s="33"/>
      <c r="P6" s="33"/>
      <c r="R6" s="32"/>
    </row>
    <row r="7" spans="1:18">
      <c r="A7" s="32" t="s">
        <v>52</v>
      </c>
      <c r="B7" s="37">
        <f t="shared" ref="B7:B12" si="0">B27</f>
        <v>79972.341937194404</v>
      </c>
      <c r="C7" s="33"/>
      <c r="D7" s="37">
        <f>IF(ISERROR(TER_horeca_gas_kWh/1000),0,TER_horeca_gas_kWh/1000)*0.902</f>
        <v>153228.55251875281</v>
      </c>
      <c r="E7" s="33">
        <f>$C$27*'E Balans VL '!I9/100/3.6*1000000</f>
        <v>1145.1906156913819</v>
      </c>
      <c r="F7" s="33">
        <f>$C$27*('E Balans VL '!L9+'E Balans VL '!N9)/100/3.6*1000000</f>
        <v>10127.136078701313</v>
      </c>
      <c r="G7" s="34"/>
      <c r="H7" s="33"/>
      <c r="I7" s="33"/>
      <c r="J7" s="33">
        <f>$C$27*('E Balans VL '!D9+'E Balans VL '!E9)/100/3.6*1000000</f>
        <v>0</v>
      </c>
      <c r="K7" s="33"/>
      <c r="L7" s="33"/>
      <c r="M7" s="33"/>
      <c r="N7" s="33">
        <f>$C$27*'E Balans VL '!Y9/100/3.6*1000000</f>
        <v>22.990285068159501</v>
      </c>
      <c r="O7" s="33"/>
      <c r="P7" s="33"/>
      <c r="R7" s="32"/>
    </row>
    <row r="8" spans="1:18">
      <c r="A8" s="6" t="s">
        <v>51</v>
      </c>
      <c r="B8" s="37">
        <f t="shared" si="0"/>
        <v>158456.86568645798</v>
      </c>
      <c r="C8" s="33"/>
      <c r="D8" s="37">
        <f>IF(ISERROR(TER_handel_gas_kWh/1000),0,TER_handel_gas_kWh/1000)*0.902</f>
        <v>76854.680655195785</v>
      </c>
      <c r="E8" s="33">
        <f>$C$28*'E Balans VL '!I13/100/3.6*1000000</f>
        <v>5747.2109784225786</v>
      </c>
      <c r="F8" s="33">
        <f>$C$28*('E Balans VL '!L13+'E Balans VL '!N13)/100/3.6*1000000</f>
        <v>30520.396808986392</v>
      </c>
      <c r="G8" s="34"/>
      <c r="H8" s="33"/>
      <c r="I8" s="33"/>
      <c r="J8" s="33">
        <f>$C$28*('E Balans VL '!D13+'E Balans VL '!E13)/100/3.6*1000000</f>
        <v>0</v>
      </c>
      <c r="K8" s="33"/>
      <c r="L8" s="33"/>
      <c r="M8" s="33"/>
      <c r="N8" s="33">
        <f>$C$28*'E Balans VL '!Y13/100/3.6*1000000</f>
        <v>219.49921827450277</v>
      </c>
      <c r="O8" s="33"/>
      <c r="P8" s="33"/>
      <c r="R8" s="32"/>
    </row>
    <row r="9" spans="1:18">
      <c r="A9" s="32" t="s">
        <v>50</v>
      </c>
      <c r="B9" s="37">
        <f t="shared" si="0"/>
        <v>97005.130361188305</v>
      </c>
      <c r="C9" s="33"/>
      <c r="D9" s="37">
        <f>IF(ISERROR(TER_gezond_gas_kWh/1000),0,TER_gezond_gas_kWh/1000)*0.902</f>
        <v>82823.137873048661</v>
      </c>
      <c r="E9" s="33">
        <f>$C$29*'E Balans VL '!I10/100/3.6*1000000</f>
        <v>6.0734789132446858</v>
      </c>
      <c r="F9" s="33">
        <f>$C$29*('E Balans VL '!L10+'E Balans VL '!N10)/100/3.6*1000000</f>
        <v>14410.407467648591</v>
      </c>
      <c r="G9" s="34"/>
      <c r="H9" s="33"/>
      <c r="I9" s="33"/>
      <c r="J9" s="33">
        <f>$C$29*('E Balans VL '!D10+'E Balans VL '!E10)/100/3.6*1000000</f>
        <v>0</v>
      </c>
      <c r="K9" s="33"/>
      <c r="L9" s="33"/>
      <c r="M9" s="33"/>
      <c r="N9" s="33">
        <f>$C$29*'E Balans VL '!Y10/100/3.6*1000000</f>
        <v>1500.4847166218294</v>
      </c>
      <c r="O9" s="33"/>
      <c r="P9" s="33"/>
      <c r="R9" s="32"/>
    </row>
    <row r="10" spans="1:18">
      <c r="A10" s="32" t="s">
        <v>49</v>
      </c>
      <c r="B10" s="37">
        <f t="shared" si="0"/>
        <v>52869.8326586029</v>
      </c>
      <c r="C10" s="33"/>
      <c r="D10" s="37">
        <f>IF(ISERROR(TER_ander_gas_kWh/1000),0,TER_ander_gas_kWh/1000)*0.902</f>
        <v>58530.794224918391</v>
      </c>
      <c r="E10" s="33">
        <f>$C$30*'E Balans VL '!I14/100/3.6*1000000</f>
        <v>63.01895128046236</v>
      </c>
      <c r="F10" s="33">
        <f>$C$30*('E Balans VL '!L14+'E Balans VL '!N14)/100/3.6*1000000</f>
        <v>13833.098631642079</v>
      </c>
      <c r="G10" s="34"/>
      <c r="H10" s="33"/>
      <c r="I10" s="33"/>
      <c r="J10" s="33">
        <f>$C$30*('E Balans VL '!D14+'E Balans VL '!E14)/100/3.6*1000000</f>
        <v>1.1475968229966609</v>
      </c>
      <c r="K10" s="33"/>
      <c r="L10" s="33"/>
      <c r="M10" s="33"/>
      <c r="N10" s="33">
        <f>$C$30*'E Balans VL '!Y14/100/3.6*1000000</f>
        <v>44895.768187090645</v>
      </c>
      <c r="O10" s="33"/>
      <c r="P10" s="33"/>
      <c r="R10" s="32"/>
    </row>
    <row r="11" spans="1:18">
      <c r="A11" s="32" t="s">
        <v>54</v>
      </c>
      <c r="B11" s="37">
        <f t="shared" si="0"/>
        <v>53681.464568169402</v>
      </c>
      <c r="C11" s="33"/>
      <c r="D11" s="37">
        <f>IF(ISERROR(TER_onderwijs_gas_kWh/1000),0,TER_onderwijs_gas_kWh/1000)*0.902</f>
        <v>87861.327808587637</v>
      </c>
      <c r="E11" s="33">
        <f>$C$31*'E Balans VL '!I11/100/3.6*1000000</f>
        <v>809.96683811332309</v>
      </c>
      <c r="F11" s="33">
        <f>$C$31*('E Balans VL '!L11+'E Balans VL '!N11)/100/3.6*1000000</f>
        <v>9405.8501792526804</v>
      </c>
      <c r="G11" s="34"/>
      <c r="H11" s="33"/>
      <c r="I11" s="33"/>
      <c r="J11" s="33">
        <f>$C$31*('E Balans VL '!D11+'E Balans VL '!E11)/100/3.6*1000000</f>
        <v>0</v>
      </c>
      <c r="K11" s="33"/>
      <c r="L11" s="33"/>
      <c r="M11" s="33"/>
      <c r="N11" s="33">
        <f>$C$31*'E Balans VL '!Y11/100/3.6*1000000</f>
        <v>151.06372231517807</v>
      </c>
      <c r="O11" s="33"/>
      <c r="P11" s="33"/>
      <c r="R11" s="32"/>
    </row>
    <row r="12" spans="1:18">
      <c r="A12" s="32" t="s">
        <v>254</v>
      </c>
      <c r="B12" s="37">
        <f t="shared" si="0"/>
        <v>86134.15876570261</v>
      </c>
      <c r="C12" s="33"/>
      <c r="D12" s="37">
        <f>IF(ISERROR(TER_rest_gas_kWh/1000),0,TER_rest_gas_kWh/1000)*0.902</f>
        <v>90602.555596443548</v>
      </c>
      <c r="E12" s="33">
        <f>$C$32*'E Balans VL '!I8/100/3.6*1000000</f>
        <v>1069.612464422248</v>
      </c>
      <c r="F12" s="33">
        <f>$C$32*('E Balans VL '!L8+'E Balans VL '!N8)/100/3.6*1000000</f>
        <v>14894.723329971393</v>
      </c>
      <c r="G12" s="34"/>
      <c r="H12" s="33"/>
      <c r="I12" s="33"/>
      <c r="J12" s="33">
        <f>$C$32*('E Balans VL '!D8+'E Balans VL '!E8)/100/3.6*1000000</f>
        <v>0.2085760391774085</v>
      </c>
      <c r="K12" s="33"/>
      <c r="L12" s="33"/>
      <c r="M12" s="33"/>
      <c r="N12" s="33">
        <f>$C$32*'E Balans VL '!Y8/100/3.6*1000000</f>
        <v>8340.4269768921786</v>
      </c>
      <c r="O12" s="33"/>
      <c r="P12" s="33"/>
      <c r="R12" s="32"/>
    </row>
    <row r="13" spans="1:18">
      <c r="A13" s="16" t="s">
        <v>480</v>
      </c>
      <c r="B13" s="243">
        <f ca="1">'lokale energieproductie'!N50+'lokale energieproductie'!N43</f>
        <v>7094.25</v>
      </c>
      <c r="C13" s="243">
        <f ca="1">'lokale energieproductie'!O50+'lokale energieproductie'!O43</f>
        <v>7483.419642857144</v>
      </c>
      <c r="D13" s="302">
        <f ca="1">('lokale energieproductie'!P43+'lokale energieproductie'!P50)*(-1)</f>
        <v>-14860.714285714288</v>
      </c>
      <c r="E13" s="244"/>
      <c r="F13" s="302">
        <f ca="1">('lokale energieproductie'!S43+'lokale energieproductie'!S50)*(-1)</f>
        <v>0</v>
      </c>
      <c r="G13" s="245"/>
      <c r="H13" s="244"/>
      <c r="I13" s="244"/>
      <c r="J13" s="244"/>
      <c r="K13" s="244"/>
      <c r="L13" s="302">
        <f ca="1">('lokale energieproductie'!U43+'lokale energieproductie'!T43+'lokale energieproductie'!U50+'lokale energieproductie'!T50)*(-1)</f>
        <v>-101.25</v>
      </c>
      <c r="M13" s="244"/>
      <c r="N13" s="302">
        <f ca="1">('lokale energieproductie'!Q43+'lokale energieproductie'!R43+'lokale energieproductie'!V43+'lokale energieproductie'!Q50+'lokale energieproductie'!R50+'lokale energieproductie'!V50)*(-1)</f>
        <v>-5310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713335.34339666262</v>
      </c>
      <c r="C16" s="21">
        <f t="shared" ca="1" si="1"/>
        <v>7483.419642857144</v>
      </c>
      <c r="D16" s="21">
        <f t="shared" ca="1" si="1"/>
        <v>819662.79559175693</v>
      </c>
      <c r="E16" s="21">
        <f t="shared" si="1"/>
        <v>8842.1897319057844</v>
      </c>
      <c r="F16" s="21">
        <f t="shared" ca="1" si="1"/>
        <v>119958.26661513177</v>
      </c>
      <c r="G16" s="21">
        <f t="shared" si="1"/>
        <v>0</v>
      </c>
      <c r="H16" s="21">
        <f t="shared" si="1"/>
        <v>0</v>
      </c>
      <c r="I16" s="21">
        <f t="shared" si="1"/>
        <v>0</v>
      </c>
      <c r="J16" s="21">
        <f t="shared" si="1"/>
        <v>1.3561728621740694</v>
      </c>
      <c r="K16" s="21">
        <f t="shared" si="1"/>
        <v>0</v>
      </c>
      <c r="L16" s="21">
        <f t="shared" ca="1" si="1"/>
        <v>0</v>
      </c>
      <c r="M16" s="21">
        <f t="shared" si="1"/>
        <v>0</v>
      </c>
      <c r="N16" s="21">
        <f t="shared" ca="1" si="1"/>
        <v>49990.579719776186</v>
      </c>
      <c r="O16" s="21">
        <f>O5</f>
        <v>46.9</v>
      </c>
      <c r="P16" s="21">
        <f>P5</f>
        <v>400.4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0.19627762568497534</v>
      </c>
      <c r="C18" s="25">
        <f ca="1">'EF ele_warmte'!B22</f>
        <v>0.14533804025548927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140011.7675190735</v>
      </c>
      <c r="C20" s="23">
        <f t="shared" ref="C20:P20" ca="1" si="2">C16*C18</f>
        <v>1087.6255453022907</v>
      </c>
      <c r="D20" s="23">
        <f t="shared" ca="1" si="2"/>
        <v>165571.8847095349</v>
      </c>
      <c r="E20" s="23">
        <f t="shared" si="2"/>
        <v>2007.1770691426132</v>
      </c>
      <c r="F20" s="23">
        <f t="shared" ca="1" si="2"/>
        <v>32028.857186240184</v>
      </c>
      <c r="G20" s="23">
        <f t="shared" si="2"/>
        <v>0</v>
      </c>
      <c r="H20" s="23">
        <f t="shared" si="2"/>
        <v>0</v>
      </c>
      <c r="I20" s="23">
        <f t="shared" si="2"/>
        <v>0</v>
      </c>
      <c r="J20" s="23">
        <f t="shared" si="2"/>
        <v>0.48008519320962056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178121.29941934699</v>
      </c>
      <c r="C26" s="39">
        <f>IF(ISERROR(B26*3.6/1000000/'E Balans VL '!Z12*100),0,B26*3.6/1000000/'E Balans VL '!Z12*100)</f>
        <v>3.7652021027946616</v>
      </c>
      <c r="D26" s="233" t="s">
        <v>732</v>
      </c>
      <c r="F26" s="6"/>
    </row>
    <row r="27" spans="1:18">
      <c r="A27" s="228" t="s">
        <v>52</v>
      </c>
      <c r="B27" s="33">
        <f>IF(ISERROR(TER_horeca_ele_kWh/1000),0,TER_horeca_ele_kWh/1000)</f>
        <v>79972.341937194404</v>
      </c>
      <c r="C27" s="39">
        <f>IF(ISERROR(B27*3.6/1000000/'E Balans VL '!Z9*100),0,B27*3.6/1000000/'E Balans VL '!Z9*100)</f>
        <v>6.3041899076954815</v>
      </c>
      <c r="D27" s="233" t="s">
        <v>732</v>
      </c>
      <c r="F27" s="6"/>
    </row>
    <row r="28" spans="1:18">
      <c r="A28" s="168" t="s">
        <v>51</v>
      </c>
      <c r="B28" s="33">
        <f>IF(ISERROR(TER_handel_ele_kWh/1000),0,TER_handel_ele_kWh/1000)</f>
        <v>158456.86568645798</v>
      </c>
      <c r="C28" s="39">
        <f>IF(ISERROR(B28*3.6/1000000/'E Balans VL '!Z13*100),0,B28*3.6/1000000/'E Balans VL '!Z13*100)</f>
        <v>4.5990584797009015</v>
      </c>
      <c r="D28" s="233" t="s">
        <v>732</v>
      </c>
      <c r="F28" s="6"/>
    </row>
    <row r="29" spans="1:18">
      <c r="A29" s="228" t="s">
        <v>50</v>
      </c>
      <c r="B29" s="33">
        <f>IF(ISERROR(TER_gezond_ele_kWh/1000),0,TER_gezond_ele_kWh/1000)</f>
        <v>97005.130361188305</v>
      </c>
      <c r="C29" s="39">
        <f>IF(ISERROR(B29*3.6/1000000/'E Balans VL '!Z10*100),0,B29*3.6/1000000/'E Balans VL '!Z10*100)</f>
        <v>10.216233093319172</v>
      </c>
      <c r="D29" s="233" t="s">
        <v>732</v>
      </c>
      <c r="F29" s="6"/>
    </row>
    <row r="30" spans="1:18">
      <c r="A30" s="228" t="s">
        <v>49</v>
      </c>
      <c r="B30" s="33">
        <f>IF(ISERROR(TER_ander_ele_kWh/1000),0,TER_ander_ele_kWh/1000)</f>
        <v>52869.8326586029</v>
      </c>
      <c r="C30" s="39">
        <f>IF(ISERROR(B30*3.6/1000000/'E Balans VL '!Z14*100),0,B30*3.6/1000000/'E Balans VL '!Z14*100)</f>
        <v>3.8996903401690819</v>
      </c>
      <c r="D30" s="233" t="s">
        <v>732</v>
      </c>
      <c r="F30" s="6"/>
    </row>
    <row r="31" spans="1:18">
      <c r="A31" s="228" t="s">
        <v>54</v>
      </c>
      <c r="B31" s="33">
        <f>IF(ISERROR(TER_onderwijs_ele_kWh/1000),0,TER_onderwijs_ele_kWh/1000)</f>
        <v>53681.464568169402</v>
      </c>
      <c r="C31" s="39">
        <f>IF(ISERROR(B31*3.6/1000000/'E Balans VL '!Z11*100),0,B31*3.6/1000000/'E Balans VL '!Z11*100)</f>
        <v>13.331622240166096</v>
      </c>
      <c r="D31" s="233" t="s">
        <v>732</v>
      </c>
    </row>
    <row r="32" spans="1:18">
      <c r="A32" s="228" t="s">
        <v>254</v>
      </c>
      <c r="B32" s="33">
        <f>IF(ISERROR(TER_rest_ele_kWh/1000),0,TER_rest_ele_kWh/1000)</f>
        <v>86134.15876570261</v>
      </c>
      <c r="C32" s="39">
        <f>IF(ISERROR(B32*3.6/1000000/'E Balans VL '!Z8*100),0,B32*3.6/1000000/'E Balans VL '!Z8*100)</f>
        <v>0.70876979516806704</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337083.34734549228</v>
      </c>
      <c r="C5" s="17">
        <f>IF(ISERROR('Eigen informatie GS &amp; warmtenet'!B59),0,'Eigen informatie GS &amp; warmtenet'!B59)</f>
        <v>0</v>
      </c>
      <c r="D5" s="30">
        <f>SUM(D6:D15)</f>
        <v>298054.07990311505</v>
      </c>
      <c r="E5" s="17">
        <f>SUM(E6:E15)</f>
        <v>15465.658791546673</v>
      </c>
      <c r="F5" s="17">
        <f>SUM(F6:F15)</f>
        <v>65394.025510153631</v>
      </c>
      <c r="G5" s="18"/>
      <c r="H5" s="17"/>
      <c r="I5" s="17"/>
      <c r="J5" s="17">
        <f>SUM(J6:J15)</f>
        <v>511.57833755192416</v>
      </c>
      <c r="K5" s="17"/>
      <c r="L5" s="17"/>
      <c r="M5" s="17"/>
      <c r="N5" s="17">
        <f>SUM(N6:N15)</f>
        <v>31631.291426074888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26828.313432765</v>
      </c>
      <c r="C8" s="33"/>
      <c r="D8" s="37">
        <f>IF( ISERROR(IND_metaal_Gas_kWH/1000),0,IND_metaal_Gas_kWH/1000)*0.902</f>
        <v>14477.153889816365</v>
      </c>
      <c r="E8" s="33">
        <f>C30*'E Balans VL '!I18/100/3.6*1000000</f>
        <v>246.66043098274619</v>
      </c>
      <c r="F8" s="33">
        <f>C30*'E Balans VL '!L18/100/3.6*1000000+C30*'E Balans VL '!N18/100/3.6*1000000</f>
        <v>2515.6025950248782</v>
      </c>
      <c r="G8" s="34"/>
      <c r="H8" s="33"/>
      <c r="I8" s="33"/>
      <c r="J8" s="40">
        <f>C30*'E Balans VL '!D18/100/3.6*1000000+C30*'E Balans VL '!E18/100/3.6*1000000</f>
        <v>0</v>
      </c>
      <c r="K8" s="33"/>
      <c r="L8" s="33"/>
      <c r="M8" s="33"/>
      <c r="N8" s="33">
        <f>C30*'E Balans VL '!Y18/100/3.6*1000000</f>
        <v>382.75022677336131</v>
      </c>
      <c r="O8" s="33"/>
      <c r="P8" s="33"/>
      <c r="R8" s="32"/>
    </row>
    <row r="9" spans="1:18">
      <c r="A9" s="6" t="s">
        <v>32</v>
      </c>
      <c r="B9" s="37">
        <f t="shared" si="0"/>
        <v>23778.670287953501</v>
      </c>
      <c r="C9" s="33"/>
      <c r="D9" s="37">
        <f>IF( ISERROR(IND_andere_gas_kWh/1000),0,IND_andere_gas_kWh/1000)*0.902</f>
        <v>23109.103149161543</v>
      </c>
      <c r="E9" s="33">
        <f>C31*'E Balans VL '!I19/100/3.6*1000000</f>
        <v>6950.9682412786742</v>
      </c>
      <c r="F9" s="33">
        <f>C31*'E Balans VL '!L19/100/3.6*1000000+C31*'E Balans VL '!N19/100/3.6*1000000</f>
        <v>19107.961456327808</v>
      </c>
      <c r="G9" s="34"/>
      <c r="H9" s="33"/>
      <c r="I9" s="33"/>
      <c r="J9" s="40">
        <f>C31*'E Balans VL '!D19/100/3.6*1000000+C31*'E Balans VL '!E19/100/3.6*1000000</f>
        <v>0</v>
      </c>
      <c r="K9" s="33"/>
      <c r="L9" s="33"/>
      <c r="M9" s="33"/>
      <c r="N9" s="33">
        <f>C31*'E Balans VL '!Y19/100/3.6*1000000</f>
        <v>1865.1666019373138</v>
      </c>
      <c r="O9" s="33"/>
      <c r="P9" s="33"/>
      <c r="R9" s="32"/>
    </row>
    <row r="10" spans="1:18">
      <c r="A10" s="6" t="s">
        <v>40</v>
      </c>
      <c r="B10" s="37">
        <f t="shared" si="0"/>
        <v>65679.954889549699</v>
      </c>
      <c r="C10" s="33"/>
      <c r="D10" s="37">
        <f>IF( ISERROR(IND_voed_gas_kWh/1000),0,IND_voed_gas_kWh/1000)*0.902</f>
        <v>25112.297520976605</v>
      </c>
      <c r="E10" s="33">
        <f>C32*'E Balans VL '!I20/100/3.6*1000000</f>
        <v>138.94696294860452</v>
      </c>
      <c r="F10" s="33">
        <f>C32*'E Balans VL '!L20/100/3.6*1000000+C32*'E Balans VL '!N20/100/3.6*1000000</f>
        <v>4175.9986219841021</v>
      </c>
      <c r="G10" s="34"/>
      <c r="H10" s="33"/>
      <c r="I10" s="33"/>
      <c r="J10" s="40">
        <f>C32*'E Balans VL '!D20/100/3.6*1000000+C32*'E Balans VL '!E20/100/3.6*1000000</f>
        <v>0</v>
      </c>
      <c r="K10" s="33"/>
      <c r="L10" s="33"/>
      <c r="M10" s="33"/>
      <c r="N10" s="33">
        <f>C32*'E Balans VL '!Y20/100/3.6*1000000</f>
        <v>4532.5650330109465</v>
      </c>
      <c r="O10" s="33"/>
      <c r="P10" s="33"/>
      <c r="R10" s="32"/>
    </row>
    <row r="11" spans="1:18">
      <c r="A11" s="6" t="s">
        <v>39</v>
      </c>
      <c r="B11" s="37">
        <f t="shared" si="0"/>
        <v>328.17275788908103</v>
      </c>
      <c r="C11" s="33"/>
      <c r="D11" s="37">
        <f>IF( ISERROR(IND_textiel_gas_kWh/1000),0,IND_textiel_gas_kWh/1000)*0.902</f>
        <v>456.40887802724245</v>
      </c>
      <c r="E11" s="33">
        <f>C33*'E Balans VL '!I21/100/3.6*1000000</f>
        <v>0.97464479699954254</v>
      </c>
      <c r="F11" s="33">
        <f>C33*'E Balans VL '!L21/100/3.6*1000000+C33*'E Balans VL '!N21/100/3.6*1000000</f>
        <v>33.154458239961457</v>
      </c>
      <c r="G11" s="34"/>
      <c r="H11" s="33"/>
      <c r="I11" s="33"/>
      <c r="J11" s="40">
        <f>C33*'E Balans VL '!D21/100/3.6*1000000+C33*'E Balans VL '!E21/100/3.6*1000000</f>
        <v>0</v>
      </c>
      <c r="K11" s="33"/>
      <c r="L11" s="33"/>
      <c r="M11" s="33"/>
      <c r="N11" s="33">
        <f>C33*'E Balans VL '!Y21/100/3.6*1000000</f>
        <v>18.09977491310886</v>
      </c>
      <c r="O11" s="33"/>
      <c r="P11" s="33"/>
      <c r="R11" s="32"/>
    </row>
    <row r="12" spans="1:18">
      <c r="A12" s="6" t="s">
        <v>36</v>
      </c>
      <c r="B12" s="37">
        <f t="shared" si="0"/>
        <v>41855.213405825896</v>
      </c>
      <c r="C12" s="33"/>
      <c r="D12" s="37">
        <f>IF( ISERROR(IND_min_gas_kWh/1000),0,IND_min_gas_kWh/1000)*0.902</f>
        <v>187.2344005464499</v>
      </c>
      <c r="E12" s="33">
        <f>C34*'E Balans VL '!I22/100/3.6*1000000</f>
        <v>1213.2102909239552</v>
      </c>
      <c r="F12" s="33">
        <f>C34*'E Balans VL '!L22/100/3.6*1000000+C34*'E Balans VL '!N22/100/3.6*1000000</f>
        <v>14390.295343375659</v>
      </c>
      <c r="G12" s="34"/>
      <c r="H12" s="33"/>
      <c r="I12" s="33"/>
      <c r="J12" s="40">
        <f>C34*'E Balans VL '!D22/100/3.6*1000000+C34*'E Balans VL '!E22/100/3.6*1000000</f>
        <v>68.780728506194137</v>
      </c>
      <c r="K12" s="33"/>
      <c r="L12" s="33"/>
      <c r="M12" s="33"/>
      <c r="N12" s="33">
        <f>C34*'E Balans VL '!Y22/100/3.6*1000000</f>
        <v>9162.7940334489667</v>
      </c>
      <c r="O12" s="33"/>
      <c r="P12" s="33"/>
      <c r="R12" s="32"/>
    </row>
    <row r="13" spans="1:18">
      <c r="A13" s="6" t="s">
        <v>38</v>
      </c>
      <c r="B13" s="37">
        <f t="shared" si="0"/>
        <v>14995.6703566261</v>
      </c>
      <c r="C13" s="33"/>
      <c r="D13" s="37">
        <f>IF( ISERROR(IND_papier_gas_kWh/1000),0,IND_papier_gas_kWh/1000)*0.902</f>
        <v>2873.5564485756713</v>
      </c>
      <c r="E13" s="33">
        <f>C35*'E Balans VL '!I23/100/3.6*1000000</f>
        <v>21.275426752864885</v>
      </c>
      <c r="F13" s="33">
        <f>C35*'E Balans VL '!L23/100/3.6*1000000+C35*'E Balans VL '!N23/100/3.6*1000000</f>
        <v>366.10070076132547</v>
      </c>
      <c r="G13" s="34"/>
      <c r="H13" s="33"/>
      <c r="I13" s="33"/>
      <c r="J13" s="40">
        <f>C35*'E Balans VL '!D23/100/3.6*1000000+C35*'E Balans VL '!E23/100/3.6*1000000</f>
        <v>2.3192212085847927</v>
      </c>
      <c r="K13" s="33"/>
      <c r="L13" s="33"/>
      <c r="M13" s="33"/>
      <c r="N13" s="33">
        <f>C35*'E Balans VL '!Y23/100/3.6*1000000</f>
        <v>6127.0134850789273</v>
      </c>
      <c r="O13" s="33"/>
      <c r="P13" s="33"/>
      <c r="R13" s="32"/>
    </row>
    <row r="14" spans="1:18">
      <c r="A14" s="6" t="s">
        <v>33</v>
      </c>
      <c r="B14" s="37">
        <f t="shared" si="0"/>
        <v>40578.042855426997</v>
      </c>
      <c r="C14" s="33"/>
      <c r="D14" s="37">
        <f>IF( ISERROR(IND_chemie_gas_kWh/1000),0,IND_chemie_gas_kWh/1000)*0.902</f>
        <v>40592.111968105703</v>
      </c>
      <c r="E14" s="33">
        <f>C36*'E Balans VL '!I24/100/3.6*1000000</f>
        <v>99.891515137674361</v>
      </c>
      <c r="F14" s="33">
        <f>C36*'E Balans VL '!L24/100/3.6*1000000+C36*'E Balans VL '!N24/100/3.6*1000000</f>
        <v>434.50777974973158</v>
      </c>
      <c r="G14" s="34"/>
      <c r="H14" s="33"/>
      <c r="I14" s="33"/>
      <c r="J14" s="40">
        <f>C36*'E Balans VL '!D24/100/3.6*1000000+C36*'E Balans VL '!E24/100/3.6*1000000</f>
        <v>0</v>
      </c>
      <c r="K14" s="33"/>
      <c r="L14" s="33"/>
      <c r="M14" s="33"/>
      <c r="N14" s="33">
        <f>C36*'E Balans VL '!Y24/100/3.6*1000000</f>
        <v>906.20786480258334</v>
      </c>
      <c r="O14" s="33"/>
      <c r="P14" s="33"/>
      <c r="R14" s="32"/>
    </row>
    <row r="15" spans="1:18">
      <c r="A15" s="6" t="s">
        <v>264</v>
      </c>
      <c r="B15" s="37">
        <f t="shared" si="0"/>
        <v>123039.30935945601</v>
      </c>
      <c r="C15" s="33"/>
      <c r="D15" s="37">
        <f>IF( ISERROR(IND_rest_gas_kWh/1000),0,IND_rest_gas_kWh/1000)*0.902</f>
        <v>191246.21364790545</v>
      </c>
      <c r="E15" s="33">
        <f>C37*'E Balans VL '!I15/100/3.6*1000000</f>
        <v>6793.7312787251549</v>
      </c>
      <c r="F15" s="33">
        <f>C37*'E Balans VL '!L15/100/3.6*1000000+C37*'E Balans VL '!N15/100/3.6*1000000</f>
        <v>24370.404554690169</v>
      </c>
      <c r="G15" s="34"/>
      <c r="H15" s="33"/>
      <c r="I15" s="33"/>
      <c r="J15" s="40">
        <f>C37*'E Balans VL '!D15/100/3.6*1000000+C37*'E Balans VL '!E15/100/3.6*1000000</f>
        <v>440.47838783714525</v>
      </c>
      <c r="K15" s="33"/>
      <c r="L15" s="33"/>
      <c r="M15" s="33"/>
      <c r="N15" s="33">
        <f>C37*'E Balans VL '!Y15/100/3.6*1000000</f>
        <v>8636.6944061096838</v>
      </c>
      <c r="O15" s="33"/>
      <c r="P15" s="33"/>
      <c r="R15" s="32"/>
    </row>
    <row r="16" spans="1:18">
      <c r="A16" s="16" t="s">
        <v>480</v>
      </c>
      <c r="B16" s="243">
        <f>'lokale energieproductie'!N49+'lokale energieproductie'!N42</f>
        <v>11025</v>
      </c>
      <c r="C16" s="243">
        <f>'lokale energieproductie'!O49+'lokale energieproductie'!O42</f>
        <v>12744.642857142857</v>
      </c>
      <c r="D16" s="302">
        <f>('lokale energieproductie'!P42+'lokale energieproductie'!P49)*(-1)</f>
        <v>-3214.2857142857147</v>
      </c>
      <c r="E16" s="244"/>
      <c r="F16" s="302">
        <f>('lokale energieproductie'!S42+'lokale energieproductie'!S49)*(-1)</f>
        <v>-6187.5</v>
      </c>
      <c r="G16" s="245"/>
      <c r="H16" s="244"/>
      <c r="I16" s="244"/>
      <c r="J16" s="244"/>
      <c r="K16" s="244"/>
      <c r="L16" s="302">
        <f>('lokale energieproductie'!T42+'lokale energieproductie'!U42+'lokale energieproductie'!T49+'lokale energieproductie'!U49)*(-1)</f>
        <v>-18562.5</v>
      </c>
      <c r="M16" s="244"/>
      <c r="N16" s="302">
        <f>('lokale energieproductie'!Q42+'lokale energieproductie'!R42+'lokale energieproductie'!V42+'lokale energieproductie'!Q49+'lokale energieproductie'!R49+'lokale energieproductie'!V49)*(-1)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348108.34734549228</v>
      </c>
      <c r="C18" s="21">
        <f>C5+C16</f>
        <v>12744.642857142857</v>
      </c>
      <c r="D18" s="21">
        <f>MAX((D5+D16),0)</f>
        <v>294839.79418882931</v>
      </c>
      <c r="E18" s="21">
        <f>MAX((E5+E16),0)</f>
        <v>15465.658791546673</v>
      </c>
      <c r="F18" s="21">
        <f>MAX((F5+F16),0)</f>
        <v>59206.525510153631</v>
      </c>
      <c r="G18" s="21"/>
      <c r="H18" s="21"/>
      <c r="I18" s="21"/>
      <c r="J18" s="21">
        <f>MAX((J5+J16),0)</f>
        <v>511.57833755192416</v>
      </c>
      <c r="K18" s="21"/>
      <c r="L18" s="21">
        <f>MAX((L5+L16),0)</f>
        <v>0</v>
      </c>
      <c r="M18" s="21"/>
      <c r="N18" s="21">
        <f>MAX((N5+N16),0)</f>
        <v>31631.291426074888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0.19627762568497534</v>
      </c>
      <c r="C20" s="25">
        <f ca="1">'EF ele_warmte'!B22</f>
        <v>0.14533804025548927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68325.879898093917</v>
      </c>
      <c r="C22" s="23">
        <f ca="1">C18*C20</f>
        <v>1852.2814166132623</v>
      </c>
      <c r="D22" s="23">
        <f>D18*D20</f>
        <v>59557.638426143523</v>
      </c>
      <c r="E22" s="23">
        <f>E18*E20</f>
        <v>3510.7045456810952</v>
      </c>
      <c r="F22" s="23">
        <f>F18*F20</f>
        <v>15808.142311211021</v>
      </c>
      <c r="G22" s="23"/>
      <c r="H22" s="23"/>
      <c r="I22" s="23"/>
      <c r="J22" s="23">
        <f>J18*J20</f>
        <v>181.09873149338114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26828.313432765</v>
      </c>
      <c r="C30" s="39">
        <f>IF(ISERROR(B30*3.6/1000000/'E Balans VL '!Z18*100),0,B30*3.6/1000000/'E Balans VL '!Z18*100)</f>
        <v>1.5204293145297834</v>
      </c>
      <c r="D30" s="233" t="s">
        <v>732</v>
      </c>
    </row>
    <row r="31" spans="1:18">
      <c r="A31" s="6" t="s">
        <v>32</v>
      </c>
      <c r="B31" s="37">
        <f>IF( ISERROR(IND_ander_ele_kWh/1000),0,IND_ander_ele_kWh/1000)</f>
        <v>23778.670287953501</v>
      </c>
      <c r="C31" s="39">
        <f>IF(ISERROR(B31*3.6/1000000/'E Balans VL '!Z19*100),0,B31*3.6/1000000/'E Balans VL '!Z19*100)</f>
        <v>1.0785014716017767</v>
      </c>
      <c r="D31" s="233" t="s">
        <v>732</v>
      </c>
    </row>
    <row r="32" spans="1:18">
      <c r="A32" s="168" t="s">
        <v>40</v>
      </c>
      <c r="B32" s="37">
        <f>IF( ISERROR(IND_voed_ele_kWh/1000),0,IND_voed_ele_kWh/1000)</f>
        <v>65679.954889549699</v>
      </c>
      <c r="C32" s="39">
        <f>IF(ISERROR(B32*3.6/1000000/'E Balans VL '!Z20*100),0,B32*3.6/1000000/'E Balans VL '!Z20*100)</f>
        <v>2.0317791665535303</v>
      </c>
      <c r="D32" s="233" t="s">
        <v>732</v>
      </c>
    </row>
    <row r="33" spans="1:5">
      <c r="A33" s="168" t="s">
        <v>39</v>
      </c>
      <c r="B33" s="37">
        <f>IF( ISERROR(IND_textiel_ele_kWh/1000),0,IND_textiel_ele_kWh/1000)</f>
        <v>328.17275788908103</v>
      </c>
      <c r="C33" s="39">
        <f>IF(ISERROR(B33*3.6/1000000/'E Balans VL '!Z21*100),0,B33*3.6/1000000/'E Balans VL '!Z21*100)</f>
        <v>4.2790079802784438E-2</v>
      </c>
      <c r="D33" s="233" t="s">
        <v>732</v>
      </c>
    </row>
    <row r="34" spans="1:5">
      <c r="A34" s="168" t="s">
        <v>36</v>
      </c>
      <c r="B34" s="37">
        <f>IF( ISERROR(IND_min_ele_kWh/1000),0,IND_min_ele_kWh/1000)</f>
        <v>41855.213405825896</v>
      </c>
      <c r="C34" s="39">
        <f>IF(ISERROR(B34*3.6/1000000/'E Balans VL '!Z22*100),0,B34*3.6/1000000/'E Balans VL '!Z22*100)</f>
        <v>7.5284470240893855</v>
      </c>
      <c r="D34" s="233" t="s">
        <v>732</v>
      </c>
    </row>
    <row r="35" spans="1:5">
      <c r="A35" s="168" t="s">
        <v>38</v>
      </c>
      <c r="B35" s="37">
        <f>IF( ISERROR(IND_papier_ele_kWh/1000),0,IND_papier_ele_kWh/1000)</f>
        <v>14995.6703566261</v>
      </c>
      <c r="C35" s="39">
        <f>IF(ISERROR(B35*3.6/1000000/'E Balans VL '!Z22*100),0,B35*3.6/1000000/'E Balans VL '!Z22*100)</f>
        <v>2.6972532376302074</v>
      </c>
      <c r="D35" s="233" t="s">
        <v>732</v>
      </c>
    </row>
    <row r="36" spans="1:5">
      <c r="A36" s="168" t="s">
        <v>33</v>
      </c>
      <c r="B36" s="37">
        <f>IF( ISERROR(IND_chemie_ele_kWh/1000),0,IND_chemie_ele_kWh/1000)</f>
        <v>40578.042855426997</v>
      </c>
      <c r="C36" s="39">
        <f>IF(ISERROR(B36*3.6/1000000/'E Balans VL '!Z24*100),0,B36*3.6/1000000/'E Balans VL '!Z24*100)</f>
        <v>1.2373878479219642</v>
      </c>
      <c r="D36" s="233" t="s">
        <v>732</v>
      </c>
    </row>
    <row r="37" spans="1:5">
      <c r="A37" s="168" t="s">
        <v>264</v>
      </c>
      <c r="B37" s="37">
        <f>IF( ISERROR(IND_rest_ele_kWh/1000),0,IND_rest_ele_kWh/1000)</f>
        <v>123039.30935945601</v>
      </c>
      <c r="C37" s="39">
        <f>IF(ISERROR(B37*3.6/1000000/'E Balans VL '!Z15*100),0,B37*3.6/1000000/'E Balans VL '!Z15*100)</f>
        <v>0.97523763331655144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3488.4364663012298</v>
      </c>
      <c r="C5" s="17">
        <f>'Eigen informatie GS &amp; warmtenet'!B60</f>
        <v>0</v>
      </c>
      <c r="D5" s="30">
        <f>IF(ISERROR(SUM(LB_lb_gas_kWh,LB_rest_gas_kWh)/1000),0,SUM(LB_lb_gas_kWh,LB_rest_gas_kWh)/1000)*0.902</f>
        <v>5153.1820542962096</v>
      </c>
      <c r="E5" s="17">
        <f>B17*'E Balans VL '!I25/3.6*1000000/100</f>
        <v>102.53580265936745</v>
      </c>
      <c r="F5" s="17">
        <f>B17*('E Balans VL '!L25/3.6*1000000+'E Balans VL '!N25/3.6*1000000)/100</f>
        <v>14532.637813398482</v>
      </c>
      <c r="G5" s="18"/>
      <c r="H5" s="17"/>
      <c r="I5" s="17"/>
      <c r="J5" s="17">
        <f>('E Balans VL '!D25+'E Balans VL '!E25)/3.6*1000000*landbouw!B17/100</f>
        <v>505.39952893639048</v>
      </c>
      <c r="K5" s="17"/>
      <c r="L5" s="17">
        <f>L6*(-1)</f>
        <v>0</v>
      </c>
      <c r="M5" s="17"/>
      <c r="N5" s="17">
        <f>N6*(-1)</f>
        <v>0</v>
      </c>
      <c r="O5" s="17"/>
      <c r="P5" s="17"/>
      <c r="R5" s="32"/>
    </row>
    <row r="6" spans="1:18">
      <c r="A6" s="16" t="s">
        <v>480</v>
      </c>
      <c r="B6" s="17" t="s">
        <v>210</v>
      </c>
      <c r="C6" s="17">
        <f>'lokale energieproductie'!O51+'lokale energieproductie'!O44</f>
        <v>0</v>
      </c>
      <c r="D6" s="302">
        <f>('lokale energieproductie'!P44+'lokale energieproductie'!P51)*(-1)</f>
        <v>0</v>
      </c>
      <c r="E6" s="244"/>
      <c r="F6" s="302">
        <f>('lokale energieproductie'!S44+'lokale energieproductie'!S51)*(-1)</f>
        <v>0</v>
      </c>
      <c r="G6" s="245"/>
      <c r="H6" s="244"/>
      <c r="I6" s="244"/>
      <c r="J6" s="244"/>
      <c r="K6" s="244"/>
      <c r="L6" s="302">
        <f>('lokale energieproductie'!T44+'lokale energieproductie'!U44+'lokale energieproductie'!T51+'lokale energieproductie'!U51)*(-1)</f>
        <v>0</v>
      </c>
      <c r="M6" s="244"/>
      <c r="N6" s="302">
        <f>('lokale energieproductie'!V44+'lokale energieproductie'!R44+'lokale energieproductie'!Q44+'lokale energieproductie'!Q51+'lokale energieproductie'!R51+'lokale energieproductie'!V51)*(-1)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3488.4364663012298</v>
      </c>
      <c r="C8" s="21">
        <f>C5+C6</f>
        <v>0</v>
      </c>
      <c r="D8" s="21">
        <f>MAX((D5+D6),0)</f>
        <v>5153.1820542962096</v>
      </c>
      <c r="E8" s="21">
        <f>MAX((E5+E6),0)</f>
        <v>102.53580265936745</v>
      </c>
      <c r="F8" s="21">
        <f>MAX((F5+F6),0)</f>
        <v>14532.637813398482</v>
      </c>
      <c r="G8" s="21"/>
      <c r="H8" s="21"/>
      <c r="I8" s="21"/>
      <c r="J8" s="21">
        <f>MAX((J5+J6),0)</f>
        <v>505.39952893639048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0.19627762568497534</v>
      </c>
      <c r="C10" s="31">
        <f ca="1">'EF ele_warmte'!B22</f>
        <v>0.14533804025548927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684.70202695849082</v>
      </c>
      <c r="C12" s="23">
        <f ca="1">C8*C10</f>
        <v>0</v>
      </c>
      <c r="D12" s="23">
        <f>D8*D10</f>
        <v>1040.9427749678343</v>
      </c>
      <c r="E12" s="23">
        <f>E8*E10</f>
        <v>23.275627203676411</v>
      </c>
      <c r="F12" s="23">
        <f>F8*F10</f>
        <v>3880.2142961773948</v>
      </c>
      <c r="G12" s="23"/>
      <c r="H12" s="23"/>
      <c r="I12" s="23"/>
      <c r="J12" s="23">
        <f>J8*J10</f>
        <v>178.91143324348221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0.49502007920378016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402.50572954802715</v>
      </c>
      <c r="C26" s="243">
        <f>B26*'GWP N2O_CH4'!B5</f>
        <v>8452.6203205085694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79.257011045077221</v>
      </c>
      <c r="C27" s="243">
        <f>B27*'GWP N2O_CH4'!B5</f>
        <v>1664.3972319466216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5.4029392107787668</v>
      </c>
      <c r="C28" s="243">
        <f>B28*'GWP N2O_CH4'!B4</f>
        <v>1674.9111553414177</v>
      </c>
      <c r="D28" s="50"/>
    </row>
    <row r="29" spans="1:4">
      <c r="A29" s="41" t="s">
        <v>271</v>
      </c>
      <c r="B29" s="243">
        <f>B34*'ha_N2O bodem landbouw'!B4</f>
        <v>20.321981592992227</v>
      </c>
      <c r="C29" s="243">
        <f>B29*'GWP N2O_CH4'!B4</f>
        <v>6299.8142938275905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4.6374061668567083E-3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4.0266492791066425E-3</v>
      </c>
      <c r="C5" s="431" t="s">
        <v>210</v>
      </c>
      <c r="D5" s="416">
        <f>SUM(D6:D11)</f>
        <v>6.3134820345018116E-3</v>
      </c>
      <c r="E5" s="416">
        <f>SUM(E6:E11)</f>
        <v>1.2120201800406528E-2</v>
      </c>
      <c r="F5" s="429" t="s">
        <v>210</v>
      </c>
      <c r="G5" s="416">
        <f>SUM(G6:G11)</f>
        <v>5.9227632205400766</v>
      </c>
      <c r="H5" s="416">
        <f>SUM(H6:H11)</f>
        <v>1.0352983960264071</v>
      </c>
      <c r="I5" s="431" t="s">
        <v>210</v>
      </c>
      <c r="J5" s="431" t="s">
        <v>210</v>
      </c>
      <c r="K5" s="431" t="s">
        <v>210</v>
      </c>
      <c r="L5" s="431" t="s">
        <v>210</v>
      </c>
      <c r="M5" s="416">
        <f>SUM(M6:M11)</f>
        <v>0.37651911657404918</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9.7629126979087292E-4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1.6413173046605071E-3</v>
      </c>
      <c r="E6" s="859">
        <f>vkm_GW_PW*SUMIFS(TableVerdeelsleutelVkm[LPG],TableVerdeelsleutelVkm[Voertuigtype],"Lichte voertuigen")*SUMIFS(TableECFTransport[EnergieConsumptieFactor (PJ per km)],TableECFTransport[Index],CONCATENATE($A6,"_LPG_LPG"))</f>
        <v>2.8879118583866039E-3</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0.85683508687039422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0.2651771372173376</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5.7868000885060653E-2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2.4194883117088916E-5</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0.77714977376636063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1.2679654527966514E-5</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4.5405398200513938E-2</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7.8450317684411605E-4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1.6911044760531194E-3</v>
      </c>
      <c r="E8" s="419">
        <f>vkm_NGW_PW*SUMIFS(TableVerdeelsleutelVkm[LPG],TableVerdeelsleutelVkm[Voertuigtype],"Lichte voertuigen")*SUMIFS(TableECFTransport[EnergieConsumptieFactor (PJ per km)],TableECFTransport[Index],CONCATENATE($A8,"_LPG_LPG"))</f>
        <v>2.8493197900026947E-3</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0.78615383752253631</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0.26760333364526456</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5.380987658139702E-2</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7.6280964207028925E-6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0.31437386684127056</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4.825213260219685E-6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1.8367455198805491E-2</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2.1864668967737223E-3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2.9810602537881847E-3</v>
      </c>
      <c r="E10" s="419">
        <f>vkm_SW_PW*SUMIFS(TableVerdeelsleutelVkm[LPG],TableVerdeelsleutelVkm[Voertuigtype],"Lichte voertuigen")*SUMIFS(TableECFTransport[EnergieConsumptieFactor (PJ per km)],TableECFTransport[Index],CONCATENATE($A10,"_LPG_LPG"))</f>
        <v>6.3829701520172295E-3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1.7330403549686537</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0.50247476355841392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0.11604687609679953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4.7564956160138974E-5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1.4552103005708616</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2.5656737602597622E-5</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8.5021509611472548E-2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1118.513688640734</v>
      </c>
      <c r="C14" s="21"/>
      <c r="D14" s="21">
        <f t="shared" ref="D14:M14" si="0">((D5)*10^9/3600)+D12</f>
        <v>1753.7450095838365</v>
      </c>
      <c r="E14" s="21">
        <f t="shared" si="0"/>
        <v>3366.722722335147</v>
      </c>
      <c r="F14" s="21"/>
      <c r="G14" s="21">
        <f t="shared" si="0"/>
        <v>1645212.0057055766</v>
      </c>
      <c r="H14" s="21">
        <f t="shared" si="0"/>
        <v>287582.88778511307</v>
      </c>
      <c r="I14" s="21"/>
      <c r="J14" s="21"/>
      <c r="K14" s="21"/>
      <c r="L14" s="21"/>
      <c r="M14" s="21">
        <f t="shared" si="0"/>
        <v>104588.64349279144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0.19627762568497534</v>
      </c>
      <c r="C16" s="56">
        <f ca="1">'EF ele_warmte'!B22</f>
        <v>0.14533804025548927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219.53921110254703</v>
      </c>
      <c r="C18" s="23"/>
      <c r="D18" s="23">
        <f t="shared" ref="D18:M18" si="1">D14*D16</f>
        <v>354.256491935935</v>
      </c>
      <c r="E18" s="23">
        <f t="shared" si="1"/>
        <v>764.24605797007837</v>
      </c>
      <c r="F18" s="23"/>
      <c r="G18" s="23">
        <f t="shared" si="1"/>
        <v>439271.60552338901</v>
      </c>
      <c r="H18" s="23">
        <f t="shared" si="1"/>
        <v>71608.139058493151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3.4082375739960646E-2</v>
      </c>
      <c r="C50" s="313">
        <f t="shared" ref="C50:P50" si="2">SUM(C51:C52)</f>
        <v>0</v>
      </c>
      <c r="D50" s="313">
        <f t="shared" si="2"/>
        <v>0</v>
      </c>
      <c r="E50" s="313">
        <f t="shared" si="2"/>
        <v>0</v>
      </c>
      <c r="F50" s="313">
        <f t="shared" si="2"/>
        <v>0</v>
      </c>
      <c r="G50" s="313">
        <f t="shared" si="2"/>
        <v>0.12843133246728206</v>
      </c>
      <c r="H50" s="313">
        <f t="shared" si="2"/>
        <v>0</v>
      </c>
      <c r="I50" s="313">
        <f t="shared" si="2"/>
        <v>0</v>
      </c>
      <c r="J50" s="313">
        <f t="shared" si="2"/>
        <v>0</v>
      </c>
      <c r="K50" s="313">
        <f t="shared" si="2"/>
        <v>0</v>
      </c>
      <c r="L50" s="313">
        <f t="shared" si="2"/>
        <v>0</v>
      </c>
      <c r="M50" s="313">
        <f t="shared" si="2"/>
        <v>7.3959748196568047E-3</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1.3671623499606463E-3</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0.12843133246728206</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7.3959748196568047E-3</v>
      </c>
      <c r="N51" s="315"/>
      <c r="O51" s="315"/>
      <c r="P51" s="318"/>
    </row>
    <row r="52" spans="1:18">
      <c r="A52" s="4" t="s">
        <v>323</v>
      </c>
      <c r="B52" s="860">
        <f>vkm_tram*SUMIFS(TableECFTransport[EnergieConsumptieFactor (PJ per km)],TableECFTransport[Index],"Tram_gemiddeld_Electric_Electric")</f>
        <v>3.2715213389999998E-2</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9467.3265944335126</v>
      </c>
      <c r="C54" s="21">
        <f t="shared" ref="C54:P54" si="3">(C50)*10^9/3600</f>
        <v>0</v>
      </c>
      <c r="D54" s="21">
        <f t="shared" si="3"/>
        <v>0</v>
      </c>
      <c r="E54" s="21">
        <f t="shared" si="3"/>
        <v>0</v>
      </c>
      <c r="F54" s="21">
        <f t="shared" si="3"/>
        <v>0</v>
      </c>
      <c r="G54" s="21">
        <f t="shared" si="3"/>
        <v>35675.370129800569</v>
      </c>
      <c r="H54" s="21">
        <f t="shared" si="3"/>
        <v>0</v>
      </c>
      <c r="I54" s="21">
        <f t="shared" si="3"/>
        <v>0</v>
      </c>
      <c r="J54" s="21">
        <f t="shared" si="3"/>
        <v>0</v>
      </c>
      <c r="K54" s="21">
        <f t="shared" si="3"/>
        <v>0</v>
      </c>
      <c r="L54" s="21">
        <f t="shared" si="3"/>
        <v>0</v>
      </c>
      <c r="M54" s="21">
        <f t="shared" si="3"/>
        <v>2054.437449904668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0.19627762568497534</v>
      </c>
      <c r="C56" s="56">
        <f ca="1">'EF ele_warmte'!B22</f>
        <v>0.14533804025548927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1858.2243855396332</v>
      </c>
      <c r="C58" s="23">
        <f t="shared" ref="C58:P58" ca="1" si="4">C54*C56</f>
        <v>0</v>
      </c>
      <c r="D58" s="23">
        <f t="shared" si="4"/>
        <v>0</v>
      </c>
      <c r="E58" s="23">
        <f t="shared" si="4"/>
        <v>0</v>
      </c>
      <c r="F58" s="23">
        <f t="shared" si="4"/>
        <v>0</v>
      </c>
      <c r="G58" s="23">
        <f t="shared" si="4"/>
        <v>9525.3238246567525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3"/>
  <sheetViews>
    <sheetView showGridLines="0" topLeftCell="A316" zoomScaleNormal="100" workbookViewId="0">
      <selection activeCell="M40" sqref="M40"/>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102571.78585891335</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55892.946175154677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N41</f>
        <v>16260.75</v>
      </c>
      <c r="C8" s="538">
        <f>B60</f>
        <v>8054.8813763122616</v>
      </c>
      <c r="D8" s="1004"/>
      <c r="E8" s="1004">
        <f>E60</f>
        <v>2757.3764047541968</v>
      </c>
      <c r="F8" s="1005"/>
      <c r="G8" s="539"/>
      <c r="H8" s="1004">
        <f>I60</f>
        <v>0</v>
      </c>
      <c r="I8" s="1004">
        <f>G60+F60</f>
        <v>8317.2499190676608</v>
      </c>
      <c r="J8" s="1004">
        <f>H60+D60+C60</f>
        <v>0</v>
      </c>
      <c r="K8" s="1004"/>
      <c r="L8" s="1004"/>
      <c r="M8" s="1004"/>
      <c r="N8" s="540"/>
      <c r="O8" s="541">
        <f>C8*$C$12+D8*$D$12+E8*$E$12+F8*$F$12+G8*$G$12+H8*$H$12+I8*$I$12+J8*$J$12</f>
        <v>2363.3055380844476</v>
      </c>
      <c r="P8" s="1248"/>
      <c r="Q8" s="1249"/>
      <c r="S8" s="967"/>
      <c r="T8" s="1223"/>
      <c r="U8" s="1223"/>
    </row>
    <row r="9" spans="1:21" s="527" customFormat="1" ht="17.45" customHeight="1" thickBot="1">
      <c r="A9" s="542" t="s">
        <v>242</v>
      </c>
      <c r="B9" s="543">
        <f>N48+'Eigen informatie GS &amp; warmtenet'!B12</f>
        <v>1858.5</v>
      </c>
      <c r="C9" s="544">
        <f>P48+IF(ISERROR(('Eigen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S48+IF(ISERROR('Eigen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W48+IF(ISERROR('Eigen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(T48+U48)+IF(ISERROR('Eigen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V48+Q48+R48+IF(ISERROR('Eigen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176583.98203406803</v>
      </c>
      <c r="C10" s="551">
        <f t="shared" ref="C10:L10" si="0">SUM(C8:C9)</f>
        <v>8054.8813763122616</v>
      </c>
      <c r="D10" s="551">
        <f t="shared" si="0"/>
        <v>0</v>
      </c>
      <c r="E10" s="551">
        <f t="shared" si="0"/>
        <v>2757.3764047541968</v>
      </c>
      <c r="F10" s="551">
        <f t="shared" si="0"/>
        <v>0</v>
      </c>
      <c r="G10" s="551">
        <f t="shared" si="0"/>
        <v>0</v>
      </c>
      <c r="H10" s="551">
        <f t="shared" si="0"/>
        <v>0</v>
      </c>
      <c r="I10" s="551">
        <f t="shared" si="0"/>
        <v>8317.2499190676608</v>
      </c>
      <c r="J10" s="551">
        <f t="shared" si="0"/>
        <v>5310</v>
      </c>
      <c r="K10" s="551">
        <f t="shared" si="0"/>
        <v>0</v>
      </c>
      <c r="L10" s="551">
        <f t="shared" si="0"/>
        <v>0</v>
      </c>
      <c r="M10" s="1007"/>
      <c r="N10" s="1007"/>
      <c r="O10" s="552">
        <f>SUM(O4:O9)</f>
        <v>2363.3055380844476</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O41</f>
        <v>20228.062499999996</v>
      </c>
      <c r="C17" s="563">
        <f>B61</f>
        <v>10020.11862368774</v>
      </c>
      <c r="D17" s="564"/>
      <c r="E17" s="564">
        <f>E61</f>
        <v>3430.1235952458023</v>
      </c>
      <c r="F17" s="1010"/>
      <c r="G17" s="565"/>
      <c r="H17" s="563">
        <f>I61</f>
        <v>0</v>
      </c>
      <c r="I17" s="564">
        <f>G61+F61</f>
        <v>10346.500080932337</v>
      </c>
      <c r="J17" s="564">
        <f>H61+D61+C61</f>
        <v>0</v>
      </c>
      <c r="K17" s="564"/>
      <c r="L17" s="564"/>
      <c r="M17" s="564"/>
      <c r="N17" s="1011"/>
      <c r="O17" s="566">
        <f>C17*$C$22+E17*$E$22+H17*$H$22+I17*$I$22+J17*$J$22+D17*$D$22+F17*$F$22+G17*$G$22+K17*$K$22+L17*$L$22</f>
        <v>2939.906961915553</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20228.062499999996</v>
      </c>
      <c r="C20" s="550">
        <f>SUM(C17:C19)</f>
        <v>10020.11862368774</v>
      </c>
      <c r="D20" s="550">
        <f t="shared" ref="D20:L20" si="1">SUM(D17:D19)</f>
        <v>0</v>
      </c>
      <c r="E20" s="550">
        <f t="shared" si="1"/>
        <v>3430.1235952458023</v>
      </c>
      <c r="F20" s="550">
        <f t="shared" si="1"/>
        <v>0</v>
      </c>
      <c r="G20" s="550">
        <f t="shared" si="1"/>
        <v>0</v>
      </c>
      <c r="H20" s="550">
        <f t="shared" si="1"/>
        <v>0</v>
      </c>
      <c r="I20" s="550">
        <f t="shared" si="1"/>
        <v>10346.500080932337</v>
      </c>
      <c r="J20" s="550">
        <f t="shared" si="1"/>
        <v>0</v>
      </c>
      <c r="K20" s="550">
        <f t="shared" si="1"/>
        <v>0</v>
      </c>
      <c r="L20" s="550">
        <f t="shared" si="1"/>
        <v>0</v>
      </c>
      <c r="M20" s="550"/>
      <c r="N20" s="550"/>
      <c r="O20" s="569">
        <f>SUM(O17:O19)</f>
        <v>2939.906961915553</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38.25">
      <c r="A28" s="573"/>
      <c r="B28" s="764">
        <v>44021</v>
      </c>
      <c r="C28" s="764">
        <v>9042</v>
      </c>
      <c r="D28" s="621" t="s">
        <v>902</v>
      </c>
      <c r="E28" s="620" t="s">
        <v>903</v>
      </c>
      <c r="F28" s="620" t="s">
        <v>904</v>
      </c>
      <c r="G28" s="620" t="s">
        <v>905</v>
      </c>
      <c r="H28" s="620" t="s">
        <v>906</v>
      </c>
      <c r="I28" s="620" t="s">
        <v>907</v>
      </c>
      <c r="J28" s="763">
        <v>39812</v>
      </c>
      <c r="K28" s="763">
        <v>39812</v>
      </c>
      <c r="L28" s="620" t="s">
        <v>908</v>
      </c>
      <c r="M28" s="620">
        <v>2200</v>
      </c>
      <c r="N28" s="620">
        <v>9900</v>
      </c>
      <c r="O28" s="620">
        <v>11137.5</v>
      </c>
      <c r="P28" s="620">
        <v>0</v>
      </c>
      <c r="Q28" s="620">
        <v>0</v>
      </c>
      <c r="R28" s="620">
        <v>0</v>
      </c>
      <c r="S28" s="620">
        <v>6187.5</v>
      </c>
      <c r="T28" s="620">
        <v>18562.5</v>
      </c>
      <c r="U28" s="620">
        <v>0</v>
      </c>
      <c r="V28" s="620">
        <v>0</v>
      </c>
      <c r="W28" s="620">
        <v>0</v>
      </c>
      <c r="X28" s="620">
        <v>300</v>
      </c>
      <c r="Y28" s="620" t="s">
        <v>33</v>
      </c>
      <c r="Z28" s="622" t="s">
        <v>381</v>
      </c>
    </row>
    <row r="29" spans="1:26" s="574" customFormat="1" ht="63.75">
      <c r="A29" s="573"/>
      <c r="B29" s="764">
        <v>44021</v>
      </c>
      <c r="C29" s="764">
        <v>9031</v>
      </c>
      <c r="D29" s="621" t="s">
        <v>909</v>
      </c>
      <c r="E29" s="620" t="s">
        <v>910</v>
      </c>
      <c r="F29" s="620" t="s">
        <v>911</v>
      </c>
      <c r="G29" s="620" t="s">
        <v>905</v>
      </c>
      <c r="H29" s="620" t="s">
        <v>906</v>
      </c>
      <c r="I29" s="620" t="s">
        <v>910</v>
      </c>
      <c r="J29" s="763">
        <v>40096</v>
      </c>
      <c r="K29" s="763">
        <v>40179</v>
      </c>
      <c r="L29" s="620" t="s">
        <v>908</v>
      </c>
      <c r="M29" s="620">
        <v>9</v>
      </c>
      <c r="N29" s="620">
        <v>40.5</v>
      </c>
      <c r="O29" s="620">
        <v>45.5625</v>
      </c>
      <c r="P29" s="620">
        <v>0</v>
      </c>
      <c r="Q29" s="620">
        <v>0</v>
      </c>
      <c r="R29" s="620">
        <v>0</v>
      </c>
      <c r="S29" s="620">
        <v>0</v>
      </c>
      <c r="T29" s="620">
        <v>0</v>
      </c>
      <c r="U29" s="620">
        <v>101.25</v>
      </c>
      <c r="V29" s="620">
        <v>0</v>
      </c>
      <c r="W29" s="620">
        <v>0</v>
      </c>
      <c r="X29" s="620">
        <v>1600</v>
      </c>
      <c r="Y29" s="620" t="s">
        <v>49</v>
      </c>
      <c r="Z29" s="622" t="s">
        <v>155</v>
      </c>
    </row>
    <row r="30" spans="1:26" s="574" customFormat="1" ht="25.5">
      <c r="A30" s="573"/>
      <c r="B30" s="764">
        <v>44021</v>
      </c>
      <c r="C30" s="764">
        <v>9040</v>
      </c>
      <c r="D30" s="621" t="s">
        <v>912</v>
      </c>
      <c r="E30" s="620" t="s">
        <v>913</v>
      </c>
      <c r="F30" s="620" t="s">
        <v>914</v>
      </c>
      <c r="G30" s="620" t="s">
        <v>905</v>
      </c>
      <c r="H30" s="620" t="s">
        <v>915</v>
      </c>
      <c r="I30" s="620" t="s">
        <v>913</v>
      </c>
      <c r="J30" s="763">
        <v>41003</v>
      </c>
      <c r="K30" s="763">
        <v>41003</v>
      </c>
      <c r="L30" s="620" t="s">
        <v>908</v>
      </c>
      <c r="M30" s="620">
        <v>70</v>
      </c>
      <c r="N30" s="620">
        <v>315.00000000000006</v>
      </c>
      <c r="O30" s="620">
        <v>450.00000000000011</v>
      </c>
      <c r="P30" s="620">
        <v>900.00000000000023</v>
      </c>
      <c r="Q30" s="620">
        <v>0</v>
      </c>
      <c r="R30" s="620">
        <v>0</v>
      </c>
      <c r="S30" s="620">
        <v>0</v>
      </c>
      <c r="T30" s="620">
        <v>0</v>
      </c>
      <c r="U30" s="620">
        <v>0</v>
      </c>
      <c r="V30" s="620">
        <v>0</v>
      </c>
      <c r="W30" s="620">
        <v>0</v>
      </c>
      <c r="X30" s="620">
        <v>1300</v>
      </c>
      <c r="Y30" s="620" t="s">
        <v>53</v>
      </c>
      <c r="Z30" s="622" t="s">
        <v>155</v>
      </c>
    </row>
    <row r="31" spans="1:26" s="574" customFormat="1" ht="25.5">
      <c r="A31" s="573"/>
      <c r="B31" s="764">
        <v>44021</v>
      </c>
      <c r="C31" s="764">
        <v>9000</v>
      </c>
      <c r="D31" s="621" t="s">
        <v>916</v>
      </c>
      <c r="E31" s="620" t="s">
        <v>917</v>
      </c>
      <c r="F31" s="620" t="s">
        <v>918</v>
      </c>
      <c r="G31" s="620" t="s">
        <v>905</v>
      </c>
      <c r="H31" s="620" t="s">
        <v>915</v>
      </c>
      <c r="I31" s="620" t="s">
        <v>917</v>
      </c>
      <c r="J31" s="763">
        <v>40928</v>
      </c>
      <c r="K31" s="763">
        <v>41030</v>
      </c>
      <c r="L31" s="620" t="s">
        <v>908</v>
      </c>
      <c r="M31" s="620">
        <v>5</v>
      </c>
      <c r="N31" s="620">
        <v>22.5</v>
      </c>
      <c r="O31" s="620">
        <v>32.142857142857146</v>
      </c>
      <c r="P31" s="620">
        <v>64.285714285714292</v>
      </c>
      <c r="Q31" s="620">
        <v>0</v>
      </c>
      <c r="R31" s="620">
        <v>0</v>
      </c>
      <c r="S31" s="620">
        <v>0</v>
      </c>
      <c r="T31" s="620">
        <v>0</v>
      </c>
      <c r="U31" s="620">
        <v>0</v>
      </c>
      <c r="V31" s="620">
        <v>0</v>
      </c>
      <c r="W31" s="620">
        <v>0</v>
      </c>
      <c r="X31" s="620">
        <v>1300</v>
      </c>
      <c r="Y31" s="620" t="s">
        <v>53</v>
      </c>
      <c r="Z31" s="622" t="s">
        <v>155</v>
      </c>
    </row>
    <row r="32" spans="1:26" s="574" customFormat="1" ht="51">
      <c r="A32" s="573"/>
      <c r="B32" s="764">
        <v>44021</v>
      </c>
      <c r="C32" s="764">
        <v>9000</v>
      </c>
      <c r="D32" s="621" t="s">
        <v>919</v>
      </c>
      <c r="E32" s="620" t="s">
        <v>920</v>
      </c>
      <c r="F32" s="620" t="s">
        <v>921</v>
      </c>
      <c r="G32" s="620" t="s">
        <v>905</v>
      </c>
      <c r="H32" s="620" t="s">
        <v>915</v>
      </c>
      <c r="I32" s="620" t="s">
        <v>920</v>
      </c>
      <c r="J32" s="763">
        <v>41618</v>
      </c>
      <c r="K32" s="763">
        <v>41660</v>
      </c>
      <c r="L32" s="620" t="s">
        <v>908</v>
      </c>
      <c r="M32" s="620">
        <v>509</v>
      </c>
      <c r="N32" s="620">
        <v>2290.5</v>
      </c>
      <c r="O32" s="620">
        <v>3272.1428571428573</v>
      </c>
      <c r="P32" s="620">
        <v>6544.2857142857147</v>
      </c>
      <c r="Q32" s="620">
        <v>0</v>
      </c>
      <c r="R32" s="620">
        <v>0</v>
      </c>
      <c r="S32" s="620">
        <v>0</v>
      </c>
      <c r="T32" s="620">
        <v>0</v>
      </c>
      <c r="U32" s="620">
        <v>0</v>
      </c>
      <c r="V32" s="620">
        <v>0</v>
      </c>
      <c r="W32" s="620">
        <v>0</v>
      </c>
      <c r="X32" s="620">
        <v>1501</v>
      </c>
      <c r="Y32" s="620" t="s">
        <v>50</v>
      </c>
      <c r="Z32" s="622" t="s">
        <v>155</v>
      </c>
    </row>
    <row r="33" spans="1:26" s="574" customFormat="1" ht="25.5">
      <c r="A33" s="573"/>
      <c r="B33" s="764">
        <v>44021</v>
      </c>
      <c r="C33" s="764">
        <v>9031</v>
      </c>
      <c r="D33" s="621" t="s">
        <v>922</v>
      </c>
      <c r="E33" s="620" t="s">
        <v>923</v>
      </c>
      <c r="F33" s="620" t="s">
        <v>924</v>
      </c>
      <c r="G33" s="620" t="s">
        <v>925</v>
      </c>
      <c r="H33" s="620" t="s">
        <v>925</v>
      </c>
      <c r="I33" s="620" t="s">
        <v>923</v>
      </c>
      <c r="J33" s="763">
        <v>41549</v>
      </c>
      <c r="K33" s="763">
        <v>41688</v>
      </c>
      <c r="L33" s="620" t="s">
        <v>908</v>
      </c>
      <c r="M33" s="620">
        <v>1</v>
      </c>
      <c r="N33" s="620">
        <v>4.5</v>
      </c>
      <c r="O33" s="620">
        <v>22.5</v>
      </c>
      <c r="P33" s="620">
        <v>30</v>
      </c>
      <c r="Q33" s="620">
        <v>0</v>
      </c>
      <c r="R33" s="620">
        <v>0</v>
      </c>
      <c r="S33" s="620">
        <v>0</v>
      </c>
      <c r="T33" s="620">
        <v>0</v>
      </c>
      <c r="U33" s="620">
        <v>0</v>
      </c>
      <c r="V33" s="620">
        <v>0</v>
      </c>
      <c r="W33" s="620">
        <v>0</v>
      </c>
      <c r="X33" s="620">
        <v>1300</v>
      </c>
      <c r="Y33" s="620" t="s">
        <v>53</v>
      </c>
      <c r="Z33" s="622" t="s">
        <v>155</v>
      </c>
    </row>
    <row r="34" spans="1:26" s="574" customFormat="1" ht="38.25">
      <c r="A34" s="573"/>
      <c r="B34" s="764">
        <v>44021</v>
      </c>
      <c r="C34" s="764">
        <v>9050</v>
      </c>
      <c r="D34" s="621" t="s">
        <v>926</v>
      </c>
      <c r="E34" s="620" t="s">
        <v>927</v>
      </c>
      <c r="F34" s="620" t="s">
        <v>928</v>
      </c>
      <c r="G34" s="620" t="s">
        <v>905</v>
      </c>
      <c r="H34" s="620" t="s">
        <v>915</v>
      </c>
      <c r="I34" s="620" t="s">
        <v>927</v>
      </c>
      <c r="J34" s="763">
        <v>41767</v>
      </c>
      <c r="K34" s="763">
        <v>41767</v>
      </c>
      <c r="L34" s="620" t="s">
        <v>908</v>
      </c>
      <c r="M34" s="620">
        <v>5.5</v>
      </c>
      <c r="N34" s="620">
        <v>24.75</v>
      </c>
      <c r="O34" s="620">
        <v>35.357142857142861</v>
      </c>
      <c r="P34" s="620">
        <v>70.714285714285722</v>
      </c>
      <c r="Q34" s="620">
        <v>0</v>
      </c>
      <c r="R34" s="620">
        <v>0</v>
      </c>
      <c r="S34" s="620">
        <v>0</v>
      </c>
      <c r="T34" s="620">
        <v>0</v>
      </c>
      <c r="U34" s="620">
        <v>0</v>
      </c>
      <c r="V34" s="620">
        <v>0</v>
      </c>
      <c r="W34" s="620">
        <v>0</v>
      </c>
      <c r="X34" s="620">
        <v>1300</v>
      </c>
      <c r="Y34" s="620" t="s">
        <v>53</v>
      </c>
      <c r="Z34" s="622" t="s">
        <v>155</v>
      </c>
    </row>
    <row r="35" spans="1:26" s="574" customFormat="1" ht="25.5">
      <c r="A35" s="573"/>
      <c r="B35" s="764">
        <v>44021</v>
      </c>
      <c r="C35" s="764">
        <v>9000</v>
      </c>
      <c r="D35" s="621"/>
      <c r="E35" s="620"/>
      <c r="F35" s="620" t="s">
        <v>929</v>
      </c>
      <c r="G35" s="620" t="s">
        <v>905</v>
      </c>
      <c r="H35" s="620" t="s">
        <v>915</v>
      </c>
      <c r="I35" s="620" t="s">
        <v>930</v>
      </c>
      <c r="J35" s="763">
        <v>41597</v>
      </c>
      <c r="K35" s="763">
        <v>41604</v>
      </c>
      <c r="L35" s="620" t="s">
        <v>908</v>
      </c>
      <c r="M35" s="620">
        <v>70</v>
      </c>
      <c r="N35" s="620">
        <v>315.00000000000006</v>
      </c>
      <c r="O35" s="620">
        <v>450.00000000000011</v>
      </c>
      <c r="P35" s="620">
        <v>900.00000000000023</v>
      </c>
      <c r="Q35" s="620">
        <v>0</v>
      </c>
      <c r="R35" s="620">
        <v>0</v>
      </c>
      <c r="S35" s="620">
        <v>0</v>
      </c>
      <c r="T35" s="620">
        <v>0</v>
      </c>
      <c r="U35" s="620">
        <v>0</v>
      </c>
      <c r="V35" s="620">
        <v>0</v>
      </c>
      <c r="W35" s="620">
        <v>0</v>
      </c>
      <c r="X35" s="620">
        <v>1300</v>
      </c>
      <c r="Y35" s="620" t="s">
        <v>53</v>
      </c>
      <c r="Z35" s="622" t="s">
        <v>155</v>
      </c>
    </row>
    <row r="36" spans="1:26" s="574" customFormat="1" ht="25.5">
      <c r="A36" s="573"/>
      <c r="B36" s="764">
        <v>44021</v>
      </c>
      <c r="C36" s="764">
        <v>9000</v>
      </c>
      <c r="D36" s="621" t="s">
        <v>931</v>
      </c>
      <c r="E36" s="620" t="s">
        <v>932</v>
      </c>
      <c r="F36" s="620" t="s">
        <v>933</v>
      </c>
      <c r="G36" s="620" t="s">
        <v>905</v>
      </c>
      <c r="H36" s="620" t="s">
        <v>915</v>
      </c>
      <c r="I36" s="620" t="s">
        <v>934</v>
      </c>
      <c r="J36" s="763">
        <v>41970</v>
      </c>
      <c r="K36" s="763">
        <v>42224</v>
      </c>
      <c r="L36" s="620" t="s">
        <v>908</v>
      </c>
      <c r="M36" s="620">
        <v>238</v>
      </c>
      <c r="N36" s="620">
        <v>1071</v>
      </c>
      <c r="O36" s="620">
        <v>1530</v>
      </c>
      <c r="P36" s="620">
        <v>3060</v>
      </c>
      <c r="Q36" s="620">
        <v>0</v>
      </c>
      <c r="R36" s="620">
        <v>0</v>
      </c>
      <c r="S36" s="620">
        <v>0</v>
      </c>
      <c r="T36" s="620">
        <v>0</v>
      </c>
      <c r="U36" s="620">
        <v>0</v>
      </c>
      <c r="V36" s="620">
        <v>0</v>
      </c>
      <c r="W36" s="620">
        <v>0</v>
      </c>
      <c r="X36" s="620">
        <v>1400</v>
      </c>
      <c r="Y36" s="620" t="s">
        <v>158</v>
      </c>
      <c r="Z36" s="622" t="s">
        <v>155</v>
      </c>
    </row>
    <row r="37" spans="1:26" s="574" customFormat="1" ht="25.5">
      <c r="A37" s="573"/>
      <c r="B37" s="764">
        <v>44021</v>
      </c>
      <c r="C37" s="764">
        <v>9000</v>
      </c>
      <c r="D37" s="621" t="s">
        <v>931</v>
      </c>
      <c r="E37" s="620" t="s">
        <v>932</v>
      </c>
      <c r="F37" s="620" t="s">
        <v>935</v>
      </c>
      <c r="G37" s="620" t="s">
        <v>905</v>
      </c>
      <c r="H37" s="620" t="s">
        <v>915</v>
      </c>
      <c r="I37" s="620" t="s">
        <v>936</v>
      </c>
      <c r="J37" s="763">
        <v>41795</v>
      </c>
      <c r="K37" s="763">
        <v>42221</v>
      </c>
      <c r="L37" s="620" t="s">
        <v>908</v>
      </c>
      <c r="M37" s="620">
        <v>238</v>
      </c>
      <c r="N37" s="620">
        <v>1071</v>
      </c>
      <c r="O37" s="620">
        <v>1530</v>
      </c>
      <c r="P37" s="620">
        <v>3060</v>
      </c>
      <c r="Q37" s="620">
        <v>0</v>
      </c>
      <c r="R37" s="620">
        <v>0</v>
      </c>
      <c r="S37" s="620">
        <v>0</v>
      </c>
      <c r="T37" s="620">
        <v>0</v>
      </c>
      <c r="U37" s="620">
        <v>0</v>
      </c>
      <c r="V37" s="620">
        <v>0</v>
      </c>
      <c r="W37" s="620">
        <v>0</v>
      </c>
      <c r="X37" s="620">
        <v>1400</v>
      </c>
      <c r="Y37" s="620" t="s">
        <v>158</v>
      </c>
      <c r="Z37" s="622" t="s">
        <v>155</v>
      </c>
    </row>
    <row r="38" spans="1:26" s="574" customFormat="1" ht="25.5">
      <c r="A38" s="573"/>
      <c r="B38" s="764">
        <v>44021</v>
      </c>
      <c r="C38" s="764">
        <v>9000</v>
      </c>
      <c r="D38" s="621" t="s">
        <v>937</v>
      </c>
      <c r="E38" s="620" t="s">
        <v>938</v>
      </c>
      <c r="F38" s="620" t="s">
        <v>939</v>
      </c>
      <c r="G38" s="620" t="s">
        <v>905</v>
      </c>
      <c r="H38" s="620" t="s">
        <v>915</v>
      </c>
      <c r="I38" s="620" t="s">
        <v>938</v>
      </c>
      <c r="J38" s="763">
        <v>42110</v>
      </c>
      <c r="K38" s="763">
        <v>42110</v>
      </c>
      <c r="L38" s="620" t="s">
        <v>908</v>
      </c>
      <c r="M38" s="620">
        <v>9</v>
      </c>
      <c r="N38" s="620">
        <v>40.5</v>
      </c>
      <c r="O38" s="620">
        <v>57.857142857142861</v>
      </c>
      <c r="P38" s="620">
        <v>115.71428571428572</v>
      </c>
      <c r="Q38" s="620">
        <v>0</v>
      </c>
      <c r="R38" s="620">
        <v>0</v>
      </c>
      <c r="S38" s="620">
        <v>0</v>
      </c>
      <c r="T38" s="620">
        <v>0</v>
      </c>
      <c r="U38" s="620">
        <v>0</v>
      </c>
      <c r="V38" s="620">
        <v>0</v>
      </c>
      <c r="W38" s="620">
        <v>0</v>
      </c>
      <c r="X38" s="620">
        <v>1200</v>
      </c>
      <c r="Y38" s="620" t="s">
        <v>940</v>
      </c>
      <c r="Z38" s="622" t="s">
        <v>155</v>
      </c>
    </row>
    <row r="39" spans="1:26" s="574" customFormat="1" ht="25.5">
      <c r="A39" s="573"/>
      <c r="B39" s="764">
        <v>44021</v>
      </c>
      <c r="C39" s="764">
        <v>9000</v>
      </c>
      <c r="D39" s="621" t="s">
        <v>941</v>
      </c>
      <c r="E39" s="620" t="s">
        <v>942</v>
      </c>
      <c r="F39" s="620" t="s">
        <v>943</v>
      </c>
      <c r="G39" s="620" t="s">
        <v>905</v>
      </c>
      <c r="H39" s="620" t="s">
        <v>915</v>
      </c>
      <c r="I39" s="620" t="s">
        <v>944</v>
      </c>
      <c r="J39" s="763">
        <v>42040</v>
      </c>
      <c r="K39" s="763">
        <v>42040</v>
      </c>
      <c r="L39" s="620" t="s">
        <v>908</v>
      </c>
      <c r="M39" s="620">
        <v>9</v>
      </c>
      <c r="N39" s="620">
        <v>40.5</v>
      </c>
      <c r="O39" s="620">
        <v>57.857142857142861</v>
      </c>
      <c r="P39" s="620">
        <v>115.71428571428572</v>
      </c>
      <c r="Q39" s="620">
        <v>0</v>
      </c>
      <c r="R39" s="620">
        <v>0</v>
      </c>
      <c r="S39" s="620">
        <v>0</v>
      </c>
      <c r="T39" s="620">
        <v>0</v>
      </c>
      <c r="U39" s="620">
        <v>0</v>
      </c>
      <c r="V39" s="620">
        <v>0</v>
      </c>
      <c r="W39" s="620">
        <v>0</v>
      </c>
      <c r="X39" s="620">
        <v>1100</v>
      </c>
      <c r="Y39" s="620" t="s">
        <v>51</v>
      </c>
      <c r="Z39" s="622" t="s">
        <v>155</v>
      </c>
    </row>
    <row r="40" spans="1:26" s="574" customFormat="1" ht="25.5">
      <c r="A40" s="573"/>
      <c r="B40" s="764">
        <v>44021</v>
      </c>
      <c r="C40" s="764">
        <v>9000</v>
      </c>
      <c r="D40" s="621" t="s">
        <v>945</v>
      </c>
      <c r="E40" s="620"/>
      <c r="F40" s="620" t="s">
        <v>946</v>
      </c>
      <c r="G40" s="620" t="s">
        <v>947</v>
      </c>
      <c r="H40" s="620" t="s">
        <v>915</v>
      </c>
      <c r="I40" s="620" t="s">
        <v>948</v>
      </c>
      <c r="J40" s="763">
        <v>42527</v>
      </c>
      <c r="K40" s="763">
        <v>42527</v>
      </c>
      <c r="L40" s="620" t="s">
        <v>949</v>
      </c>
      <c r="M40" s="620">
        <v>500</v>
      </c>
      <c r="N40" s="620">
        <v>1125</v>
      </c>
      <c r="O40" s="620">
        <v>1607.1428571428571</v>
      </c>
      <c r="P40" s="620">
        <v>3214.2857142857147</v>
      </c>
      <c r="Q40" s="620">
        <v>0</v>
      </c>
      <c r="R40" s="620">
        <v>0</v>
      </c>
      <c r="S40" s="620">
        <v>0</v>
      </c>
      <c r="T40" s="620">
        <v>0</v>
      </c>
      <c r="U40" s="620">
        <v>0</v>
      </c>
      <c r="V40" s="620">
        <v>0</v>
      </c>
      <c r="W40" s="620">
        <v>0</v>
      </c>
      <c r="X40" s="620">
        <v>300</v>
      </c>
      <c r="Y40" s="620" t="s">
        <v>33</v>
      </c>
      <c r="Z40" s="622" t="s">
        <v>381</v>
      </c>
    </row>
    <row r="41" spans="1:26" s="558" customFormat="1">
      <c r="A41" s="576" t="s">
        <v>274</v>
      </c>
      <c r="B41" s="577"/>
      <c r="C41" s="577"/>
      <c r="D41" s="577"/>
      <c r="E41" s="577"/>
      <c r="F41" s="577"/>
      <c r="G41" s="577"/>
      <c r="H41" s="577"/>
      <c r="I41" s="577"/>
      <c r="J41" s="577"/>
      <c r="K41" s="577"/>
      <c r="L41" s="578"/>
      <c r="M41" s="578">
        <f>SUM(M28:M40)</f>
        <v>3863.5</v>
      </c>
      <c r="N41" s="578">
        <f>SUM(N28:N40)</f>
        <v>16260.75</v>
      </c>
      <c r="O41" s="578">
        <f>SUM(O28:O40)</f>
        <v>20228.062499999996</v>
      </c>
      <c r="P41" s="578">
        <f>SUM(P28:P40)</f>
        <v>18075.000000000004</v>
      </c>
      <c r="Q41" s="578">
        <f>SUM(Q28:Q40)</f>
        <v>0</v>
      </c>
      <c r="R41" s="578">
        <f>SUM(R28:R40)</f>
        <v>0</v>
      </c>
      <c r="S41" s="578">
        <f>SUM(S28:S40)</f>
        <v>6187.5</v>
      </c>
      <c r="T41" s="578">
        <f>SUM(T28:T40)</f>
        <v>18562.5</v>
      </c>
      <c r="U41" s="578">
        <f>SUM(U28:U40)</f>
        <v>101.25</v>
      </c>
      <c r="V41" s="578">
        <f>SUM(V28:V40)</f>
        <v>0</v>
      </c>
      <c r="W41" s="578">
        <f>SUM(W28:W40)</f>
        <v>0</v>
      </c>
      <c r="X41" s="579"/>
      <c r="Y41" s="579"/>
      <c r="Z41" s="580"/>
    </row>
    <row r="42" spans="1:26" s="558" customFormat="1">
      <c r="A42" s="576" t="s">
        <v>281</v>
      </c>
      <c r="B42" s="577"/>
      <c r="C42" s="577"/>
      <c r="D42" s="577"/>
      <c r="E42" s="577"/>
      <c r="F42" s="577"/>
      <c r="G42" s="577"/>
      <c r="H42" s="577"/>
      <c r="I42" s="577"/>
      <c r="J42" s="577"/>
      <c r="K42" s="577"/>
      <c r="L42" s="578"/>
      <c r="M42" s="578">
        <f>SUMIF($Z$28:$Z$40,"industrie",M28:M40)</f>
        <v>2700</v>
      </c>
      <c r="N42" s="578">
        <f>SUMIF($Z$28:$Z$40,"industrie",N28:N40)</f>
        <v>11025</v>
      </c>
      <c r="O42" s="578">
        <f>SUMIF($Z$28:$Z$40,"industrie",O28:O40)</f>
        <v>12744.642857142857</v>
      </c>
      <c r="P42" s="578">
        <f>SUMIF($Z$28:$Z$40,"industrie",P28:P40)</f>
        <v>3214.2857142857147</v>
      </c>
      <c r="Q42" s="578">
        <f>SUMIF($Z$28:$Z$40,"industrie",Q28:Q40)</f>
        <v>0</v>
      </c>
      <c r="R42" s="578">
        <f>SUMIF($Z$28:$Z$40,"industrie",R28:R40)</f>
        <v>0</v>
      </c>
      <c r="S42" s="578">
        <f>SUMIF($Z$28:$Z$40,"industrie",S28:S40)</f>
        <v>6187.5</v>
      </c>
      <c r="T42" s="578">
        <f>SUMIF($Z$28:$Z$40,"industrie",T28:T40)</f>
        <v>18562.5</v>
      </c>
      <c r="U42" s="578">
        <f>SUMIF($Z$28:$Z$40,"industrie",U28:U40)</f>
        <v>0</v>
      </c>
      <c r="V42" s="578">
        <f>SUMIF($Z$28:$Z$40,"industrie",V28:V40)</f>
        <v>0</v>
      </c>
      <c r="W42" s="578">
        <f>SUMIF($Z$28:$Z$40,"industrie",W28:W40)</f>
        <v>0</v>
      </c>
      <c r="X42" s="579"/>
      <c r="Y42" s="579"/>
      <c r="Z42" s="580"/>
    </row>
    <row r="43" spans="1:26" s="558" customFormat="1">
      <c r="A43" s="576" t="s">
        <v>282</v>
      </c>
      <c r="B43" s="577"/>
      <c r="C43" s="577"/>
      <c r="D43" s="577"/>
      <c r="E43" s="577"/>
      <c r="F43" s="577"/>
      <c r="G43" s="577"/>
      <c r="H43" s="577"/>
      <c r="I43" s="577"/>
      <c r="J43" s="577"/>
      <c r="K43" s="577"/>
      <c r="L43" s="578"/>
      <c r="M43" s="578">
        <f ca="1">SUMIF($Z$28:AC40,"tertiair",M28:M40)</f>
        <v>1163.5</v>
      </c>
      <c r="N43" s="578">
        <f ca="1">SUMIF($Z$28:AD40,"tertiair",N28:N40)</f>
        <v>5235.75</v>
      </c>
      <c r="O43" s="578">
        <f ca="1">SUMIF($Z$28:AE40,"tertiair",O28:O40)</f>
        <v>7483.419642857144</v>
      </c>
      <c r="P43" s="578">
        <f ca="1">SUMIF($Z$28:AF40,"tertiair",P28:P40)</f>
        <v>14860.714285714288</v>
      </c>
      <c r="Q43" s="578">
        <f ca="1">SUMIF($Z$28:AG40,"tertiair",Q28:Q40)</f>
        <v>0</v>
      </c>
      <c r="R43" s="578">
        <f ca="1">SUMIF($Z$28:AH40,"tertiair",R28:R40)</f>
        <v>0</v>
      </c>
      <c r="S43" s="578">
        <f ca="1">SUMIF($Z$28:AI40,"tertiair",S28:S40)</f>
        <v>0</v>
      </c>
      <c r="T43" s="578">
        <f ca="1">SUMIF($Z$28:AJ40,"tertiair",T28:T40)</f>
        <v>0</v>
      </c>
      <c r="U43" s="578">
        <f ca="1">SUMIF($Z$28:AK40,"tertiair",U28:U40)</f>
        <v>101.25</v>
      </c>
      <c r="V43" s="578">
        <f ca="1">SUMIF($Z$28:AL40,"tertiair",V28:V40)</f>
        <v>0</v>
      </c>
      <c r="W43" s="578">
        <f ca="1">SUMIF($Z$28:AM40,"tertiair",W28:W40)</f>
        <v>0</v>
      </c>
      <c r="X43" s="579"/>
      <c r="Y43" s="579"/>
      <c r="Z43" s="580"/>
    </row>
    <row r="44" spans="1:26" s="558" customFormat="1" ht="15.75" thickBot="1">
      <c r="A44" s="581" t="s">
        <v>283</v>
      </c>
      <c r="B44" s="582"/>
      <c r="C44" s="582"/>
      <c r="D44" s="582"/>
      <c r="E44" s="582"/>
      <c r="F44" s="582"/>
      <c r="G44" s="582"/>
      <c r="H44" s="582"/>
      <c r="I44" s="582"/>
      <c r="J44" s="582"/>
      <c r="K44" s="582"/>
      <c r="L44" s="583"/>
      <c r="M44" s="583">
        <f>SUMIF($Z$28:$Z$40,"landbouw",M28:M40)</f>
        <v>0</v>
      </c>
      <c r="N44" s="583">
        <f>SUMIF($Z$28:$Z$40,"landbouw",N28:N40)</f>
        <v>0</v>
      </c>
      <c r="O44" s="583">
        <f>SUMIF($Z$28:$Z$40,"landbouw",O28:O40)</f>
        <v>0</v>
      </c>
      <c r="P44" s="583">
        <f>SUMIF($Z$28:$Z$40,"landbouw",P28:P40)</f>
        <v>0</v>
      </c>
      <c r="Q44" s="583">
        <f>SUMIF($Z$28:$Z$40,"landbouw",Q28:Q40)</f>
        <v>0</v>
      </c>
      <c r="R44" s="583">
        <f>SUMIF($Z$28:$Z$40,"landbouw",R28:R40)</f>
        <v>0</v>
      </c>
      <c r="S44" s="583">
        <f>SUMIF($Z$28:$Z$40,"landbouw",S28:S40)</f>
        <v>0</v>
      </c>
      <c r="T44" s="583">
        <f>SUMIF($Z$28:$Z$40,"landbouw",T28:T40)</f>
        <v>0</v>
      </c>
      <c r="U44" s="583">
        <f>SUMIF($Z$28:$Z$40,"landbouw",U28:U40)</f>
        <v>0</v>
      </c>
      <c r="V44" s="583">
        <f>SUMIF($Z$28:$Z$40,"landbouw",V28:V40)</f>
        <v>0</v>
      </c>
      <c r="W44" s="583">
        <f>SUMIF($Z$28:$Z$40,"landbouw",W28:W40)</f>
        <v>0</v>
      </c>
      <c r="X44" s="584"/>
      <c r="Y44" s="584"/>
      <c r="Z44" s="585"/>
    </row>
    <row r="45" spans="1:26" s="527" customFormat="1" ht="15.75" thickBot="1">
      <c r="A45" s="586"/>
      <c r="B45" s="587"/>
      <c r="C45" s="587"/>
      <c r="D45" s="587"/>
      <c r="E45" s="587"/>
      <c r="F45" s="587"/>
      <c r="G45" s="587"/>
      <c r="H45" s="587"/>
      <c r="I45" s="587"/>
      <c r="J45" s="587"/>
      <c r="K45" s="587"/>
      <c r="L45" s="570"/>
      <c r="M45" s="570"/>
      <c r="N45" s="570"/>
      <c r="O45" s="571"/>
      <c r="P45" s="571"/>
    </row>
    <row r="46" spans="1:26" s="527" customFormat="1" ht="45">
      <c r="A46" s="588" t="s">
        <v>275</v>
      </c>
      <c r="B46" s="617" t="s">
        <v>89</v>
      </c>
      <c r="C46" s="617" t="s">
        <v>90</v>
      </c>
      <c r="D46" s="617" t="s">
        <v>91</v>
      </c>
      <c r="E46" s="617" t="s">
        <v>92</v>
      </c>
      <c r="F46" s="617" t="s">
        <v>93</v>
      </c>
      <c r="G46" s="617" t="s">
        <v>94</v>
      </c>
      <c r="H46" s="617" t="s">
        <v>95</v>
      </c>
      <c r="I46" s="617" t="s">
        <v>96</v>
      </c>
      <c r="J46" s="617" t="s">
        <v>97</v>
      </c>
      <c r="K46" s="617" t="s">
        <v>98</v>
      </c>
      <c r="L46" s="617" t="s">
        <v>99</v>
      </c>
      <c r="M46" s="618" t="s">
        <v>292</v>
      </c>
      <c r="N46" s="618" t="s">
        <v>100</v>
      </c>
      <c r="O46" s="618" t="s">
        <v>101</v>
      </c>
      <c r="P46" s="618" t="s">
        <v>526</v>
      </c>
      <c r="Q46" s="618" t="s">
        <v>102</v>
      </c>
      <c r="R46" s="618" t="s">
        <v>103</v>
      </c>
      <c r="S46" s="618" t="s">
        <v>104</v>
      </c>
      <c r="T46" s="618" t="s">
        <v>105</v>
      </c>
      <c r="U46" s="618" t="s">
        <v>106</v>
      </c>
      <c r="V46" s="618" t="s">
        <v>107</v>
      </c>
      <c r="W46" s="617" t="s">
        <v>108</v>
      </c>
      <c r="X46" s="617" t="s">
        <v>293</v>
      </c>
      <c r="Y46" s="617" t="s">
        <v>109</v>
      </c>
      <c r="Z46" s="619" t="s">
        <v>294</v>
      </c>
    </row>
    <row r="47" spans="1:26" s="589" customFormat="1" ht="63.75">
      <c r="A47" s="575"/>
      <c r="B47" s="764">
        <v>44021</v>
      </c>
      <c r="C47" s="764">
        <v>9000</v>
      </c>
      <c r="D47" s="623" t="s">
        <v>950</v>
      </c>
      <c r="E47" s="623" t="s">
        <v>951</v>
      </c>
      <c r="F47" s="623" t="s">
        <v>952</v>
      </c>
      <c r="G47" s="623" t="s">
        <v>953</v>
      </c>
      <c r="H47" s="623" t="s">
        <v>954</v>
      </c>
      <c r="I47" s="623" t="s">
        <v>955</v>
      </c>
      <c r="J47" s="763">
        <v>38292</v>
      </c>
      <c r="K47" s="763">
        <v>38687</v>
      </c>
      <c r="L47" s="623" t="s">
        <v>956</v>
      </c>
      <c r="M47" s="623">
        <v>413</v>
      </c>
      <c r="N47" s="623">
        <v>1858.5</v>
      </c>
      <c r="O47" s="623">
        <v>0</v>
      </c>
      <c r="P47" s="623">
        <v>0</v>
      </c>
      <c r="Q47" s="623">
        <v>5310</v>
      </c>
      <c r="R47" s="623">
        <v>0</v>
      </c>
      <c r="S47" s="623">
        <v>0</v>
      </c>
      <c r="T47" s="623">
        <v>0</v>
      </c>
      <c r="U47" s="623">
        <v>0</v>
      </c>
      <c r="V47" s="623">
        <v>0</v>
      </c>
      <c r="W47" s="623">
        <v>0</v>
      </c>
      <c r="X47" s="623">
        <v>1600</v>
      </c>
      <c r="Y47" s="623" t="s">
        <v>49</v>
      </c>
      <c r="Z47" s="624" t="s">
        <v>155</v>
      </c>
    </row>
    <row r="48" spans="1:26" s="558" customFormat="1">
      <c r="A48" s="576" t="s">
        <v>274</v>
      </c>
      <c r="B48" s="577"/>
      <c r="C48" s="577"/>
      <c r="D48" s="577"/>
      <c r="E48" s="577"/>
      <c r="F48" s="577"/>
      <c r="G48" s="577"/>
      <c r="H48" s="577"/>
      <c r="I48" s="577"/>
      <c r="J48" s="577"/>
      <c r="K48" s="577"/>
      <c r="L48" s="578"/>
      <c r="M48" s="578">
        <f>SUM(M47:M47)</f>
        <v>413</v>
      </c>
      <c r="N48" s="578">
        <f>SUM(N47:N47)</f>
        <v>1858.5</v>
      </c>
      <c r="O48" s="578">
        <f>SUM(O47:O47)</f>
        <v>0</v>
      </c>
      <c r="P48" s="578">
        <f>SUM(P47:P47)</f>
        <v>0</v>
      </c>
      <c r="Q48" s="578">
        <f>SUM(Q47:Q47)</f>
        <v>5310</v>
      </c>
      <c r="R48" s="578">
        <f>SUM(R47:R47)</f>
        <v>0</v>
      </c>
      <c r="S48" s="578">
        <f>SUM(S47:S47)</f>
        <v>0</v>
      </c>
      <c r="T48" s="578">
        <f>SUM(T47:T47)</f>
        <v>0</v>
      </c>
      <c r="U48" s="578">
        <f>SUM(U47:U47)</f>
        <v>0</v>
      </c>
      <c r="V48" s="578">
        <f>SUM(V47:V47)</f>
        <v>0</v>
      </c>
      <c r="W48" s="578">
        <f>SUM(W47:W47)</f>
        <v>0</v>
      </c>
      <c r="X48" s="579"/>
      <c r="Y48" s="579"/>
      <c r="Z48" s="580"/>
    </row>
    <row r="49" spans="1:27" s="558" customFormat="1">
      <c r="A49" s="576" t="s">
        <v>281</v>
      </c>
      <c r="B49" s="577"/>
      <c r="C49" s="577"/>
      <c r="D49" s="577"/>
      <c r="E49" s="577"/>
      <c r="F49" s="577"/>
      <c r="G49" s="577"/>
      <c r="H49" s="577"/>
      <c r="I49" s="577"/>
      <c r="J49" s="577"/>
      <c r="K49" s="577"/>
      <c r="L49" s="578"/>
      <c r="M49" s="578">
        <f>SUMIF($Z$47:$Z$47,"industrie",M47:M47)</f>
        <v>0</v>
      </c>
      <c r="N49" s="578">
        <f>SUMIF($Z$47:$Z$47,"industrie",N47:N47)</f>
        <v>0</v>
      </c>
      <c r="O49" s="578">
        <f>SUMIF($Z$47:$Z$47,"industrie",O47:O47)</f>
        <v>0</v>
      </c>
      <c r="P49" s="578">
        <f>SUMIF($Z$47:$Z$47,"industrie",P47:P47)</f>
        <v>0</v>
      </c>
      <c r="Q49" s="578">
        <f>SUMIF($Z$47:$Z$47,"industrie",Q47:Q47)</f>
        <v>0</v>
      </c>
      <c r="R49" s="578">
        <f>SUMIF($Z$47:$Z$47,"industrie",R47:R47)</f>
        <v>0</v>
      </c>
      <c r="S49" s="578">
        <f>SUMIF($Z$47:$Z$47,"industrie",S47:S47)</f>
        <v>0</v>
      </c>
      <c r="T49" s="578">
        <f>SUMIF($Z$47:$Z$47,"industrie",T47:T47)</f>
        <v>0</v>
      </c>
      <c r="U49" s="578">
        <f>SUMIF($Z$47:$Z$47,"industrie",U47:U47)</f>
        <v>0</v>
      </c>
      <c r="V49" s="578">
        <f>SUMIF($Z$47:$Z$47,"industrie",V47:V47)</f>
        <v>0</v>
      </c>
      <c r="W49" s="578">
        <f>SUMIF($Z$47:$Z$47,"industrie",W47:W47)</f>
        <v>0</v>
      </c>
      <c r="X49" s="579"/>
      <c r="Y49" s="579"/>
      <c r="Z49" s="580"/>
    </row>
    <row r="50" spans="1:27" s="558" customFormat="1">
      <c r="A50" s="576" t="s">
        <v>282</v>
      </c>
      <c r="B50" s="577"/>
      <c r="C50" s="577"/>
      <c r="D50" s="577"/>
      <c r="E50" s="577"/>
      <c r="F50" s="577"/>
      <c r="G50" s="577"/>
      <c r="H50" s="577"/>
      <c r="I50" s="577"/>
      <c r="J50" s="577"/>
      <c r="K50" s="577"/>
      <c r="L50" s="578"/>
      <c r="M50" s="578">
        <f>SUMIF($Z$47:$Z$48,"tertiair",M47:M48)</f>
        <v>413</v>
      </c>
      <c r="N50" s="578">
        <f>SUMIF($Z$47:$Z$48,"tertiair",N47:N48)</f>
        <v>1858.5</v>
      </c>
      <c r="O50" s="578">
        <f>SUMIF($Z$47:$Z$48,"tertiair",O47:O48)</f>
        <v>0</v>
      </c>
      <c r="P50" s="578">
        <f>SUMIF($Z$47:$Z$48,"tertiair",P47:P48)</f>
        <v>0</v>
      </c>
      <c r="Q50" s="578">
        <f>SUMIF($Z$47:$Z$48,"tertiair",Q47:Q48)</f>
        <v>5310</v>
      </c>
      <c r="R50" s="578">
        <f>SUMIF($Z$47:$Z$48,"tertiair",R47:R48)</f>
        <v>0</v>
      </c>
      <c r="S50" s="578">
        <f>SUMIF($Z$47:$Z$48,"tertiair",S47:S48)</f>
        <v>0</v>
      </c>
      <c r="T50" s="578">
        <f>SUMIF($Z$47:$Z$48,"tertiair",T47:T48)</f>
        <v>0</v>
      </c>
      <c r="U50" s="578">
        <f>SUMIF($Z$47:$Z$48,"tertiair",U47:U48)</f>
        <v>0</v>
      </c>
      <c r="V50" s="578">
        <f>SUMIF($Z$47:$Z$48,"tertiair",V47:V48)</f>
        <v>0</v>
      </c>
      <c r="W50" s="578">
        <f>SUMIF($Z$47:$Z$48,"tertiair",W47:W48)</f>
        <v>0</v>
      </c>
      <c r="X50" s="579"/>
      <c r="Y50" s="579"/>
      <c r="Z50" s="580"/>
    </row>
    <row r="51" spans="1:27" s="558" customFormat="1" ht="15.75" thickBot="1">
      <c r="A51" s="581" t="s">
        <v>283</v>
      </c>
      <c r="B51" s="582"/>
      <c r="C51" s="582"/>
      <c r="D51" s="582"/>
      <c r="E51" s="582"/>
      <c r="F51" s="582"/>
      <c r="G51" s="582"/>
      <c r="H51" s="582"/>
      <c r="I51" s="582"/>
      <c r="J51" s="582"/>
      <c r="K51" s="582"/>
      <c r="L51" s="583"/>
      <c r="M51" s="583">
        <f>SUMIF($Z$47:$Z$49,"landbouw",M47:M49)</f>
        <v>0</v>
      </c>
      <c r="N51" s="583">
        <f>SUMIF($Z$47:$Z$49,"landbouw",N47:N49)</f>
        <v>0</v>
      </c>
      <c r="O51" s="583">
        <f>SUMIF($Z$47:$Z$49,"landbouw",O47:O49)</f>
        <v>0</v>
      </c>
      <c r="P51" s="583">
        <f>SUMIF($Z$47:$Z$49,"landbouw",P47:P49)</f>
        <v>0</v>
      </c>
      <c r="Q51" s="583">
        <f>SUMIF($Z$47:$Z$49,"landbouw",Q47:Q49)</f>
        <v>0</v>
      </c>
      <c r="R51" s="583">
        <f>SUMIF($Z$47:$Z$49,"landbouw",R47:R49)</f>
        <v>0</v>
      </c>
      <c r="S51" s="583">
        <f>SUMIF($Z$47:$Z$49,"landbouw",S47:S49)</f>
        <v>0</v>
      </c>
      <c r="T51" s="583">
        <f>SUMIF($Z$47:$Z$49,"landbouw",T47:T49)</f>
        <v>0</v>
      </c>
      <c r="U51" s="583">
        <f>SUMIF($Z$47:$Z$49,"landbouw",U47:U49)</f>
        <v>0</v>
      </c>
      <c r="V51" s="583">
        <f>SUMIF($Z$47:$Z$49,"landbouw",V47:V49)</f>
        <v>0</v>
      </c>
      <c r="W51" s="583">
        <f>SUMIF($Z$47:$Z$49,"landbouw",W47:W49)</f>
        <v>0</v>
      </c>
      <c r="X51" s="584"/>
      <c r="Y51" s="584"/>
      <c r="Z51" s="585"/>
    </row>
    <row r="52" spans="1:27" s="590" customFormat="1">
      <c r="A52" s="586"/>
      <c r="B52" s="570"/>
      <c r="C52" s="570"/>
      <c r="D52" s="570"/>
      <c r="E52" s="570"/>
      <c r="F52" s="570"/>
      <c r="G52" s="570"/>
      <c r="H52" s="570"/>
      <c r="I52" s="570"/>
      <c r="J52" s="570"/>
      <c r="K52" s="570"/>
      <c r="L52" s="570"/>
      <c r="M52" s="570"/>
      <c r="N52" s="570"/>
      <c r="O52" s="570"/>
      <c r="P52" s="570"/>
      <c r="Q52" s="570"/>
      <c r="R52" s="570"/>
      <c r="S52" s="570"/>
      <c r="T52" s="570"/>
      <c r="U52" s="570"/>
      <c r="V52" s="570"/>
      <c r="W52" s="570"/>
      <c r="X52" s="570"/>
      <c r="Y52" s="570"/>
    </row>
    <row r="53" spans="1:27" s="590" customFormat="1" ht="15.75" thickBot="1">
      <c r="A53" s="586"/>
      <c r="B53" s="570"/>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row>
    <row r="54" spans="1:27">
      <c r="A54" s="591" t="s">
        <v>276</v>
      </c>
      <c r="B54" s="592"/>
      <c r="C54" s="592"/>
      <c r="D54" s="592"/>
      <c r="E54" s="592"/>
      <c r="F54" s="592"/>
      <c r="G54" s="592"/>
      <c r="H54" s="592"/>
      <c r="I54" s="593"/>
      <c r="J54" s="594"/>
      <c r="K54" s="594"/>
      <c r="L54" s="595"/>
      <c r="M54" s="595"/>
      <c r="N54" s="595"/>
      <c r="O54" s="595"/>
      <c r="P54" s="595"/>
    </row>
    <row r="55" spans="1:27">
      <c r="A55" s="597"/>
      <c r="B55" s="587"/>
      <c r="C55" s="587"/>
      <c r="D55" s="587"/>
      <c r="E55" s="587"/>
      <c r="F55" s="587"/>
      <c r="G55" s="587"/>
      <c r="H55" s="587"/>
      <c r="I55" s="598"/>
      <c r="J55" s="587"/>
      <c r="K55" s="587"/>
      <c r="L55" s="595"/>
      <c r="M55" s="595"/>
      <c r="N55" s="595"/>
      <c r="O55" s="595"/>
      <c r="P55" s="595"/>
    </row>
    <row r="56" spans="1:27">
      <c r="A56" s="599"/>
      <c r="B56" s="600" t="s">
        <v>277</v>
      </c>
      <c r="C56" s="600" t="s">
        <v>278</v>
      </c>
      <c r="D56" s="600"/>
      <c r="E56" s="600"/>
      <c r="F56" s="600"/>
      <c r="G56" s="600"/>
      <c r="H56" s="600"/>
      <c r="I56" s="601"/>
      <c r="J56" s="600"/>
      <c r="K56" s="600"/>
      <c r="L56" s="600"/>
      <c r="M56" s="600"/>
      <c r="N56" s="600"/>
      <c r="O56" s="600"/>
      <c r="P56" s="595"/>
    </row>
    <row r="57" spans="1:27">
      <c r="A57" s="597" t="s">
        <v>274</v>
      </c>
      <c r="B57" s="602">
        <f>IF(ISERROR(O41/(O41+N41)),0,O41/(O41+N41))</f>
        <v>0.55436340933265493</v>
      </c>
      <c r="C57" s="603">
        <f>IF(ISERROR(N41/(O41+N41)),0,N41/(N41+O41))</f>
        <v>0.44563659066734496</v>
      </c>
      <c r="D57" s="570"/>
      <c r="E57" s="570"/>
      <c r="F57" s="570"/>
      <c r="G57" s="570"/>
      <c r="H57" s="570"/>
      <c r="I57" s="604"/>
      <c r="J57" s="570"/>
      <c r="K57" s="570"/>
      <c r="L57" s="605"/>
      <c r="M57" s="605"/>
      <c r="N57" s="605"/>
      <c r="O57" s="605"/>
      <c r="P57" s="595"/>
    </row>
    <row r="58" spans="1:27">
      <c r="A58" s="597"/>
      <c r="B58" s="606"/>
      <c r="C58" s="606"/>
      <c r="D58" s="606"/>
      <c r="E58" s="606"/>
      <c r="F58" s="606"/>
      <c r="G58" s="606"/>
      <c r="H58" s="606"/>
      <c r="I58" s="607"/>
      <c r="J58" s="606"/>
      <c r="K58" s="606"/>
      <c r="L58" s="608"/>
      <c r="M58" s="608"/>
      <c r="N58" s="608"/>
      <c r="O58" s="608"/>
      <c r="P58" s="595"/>
    </row>
    <row r="59" spans="1:27" ht="30">
      <c r="A59" s="609"/>
      <c r="B59" s="610" t="s">
        <v>526</v>
      </c>
      <c r="C59" s="610" t="s">
        <v>102</v>
      </c>
      <c r="D59" s="610" t="s">
        <v>103</v>
      </c>
      <c r="E59" s="610" t="s">
        <v>104</v>
      </c>
      <c r="F59" s="610" t="s">
        <v>105</v>
      </c>
      <c r="G59" s="610" t="s">
        <v>106</v>
      </c>
      <c r="H59" s="610" t="s">
        <v>107</v>
      </c>
      <c r="I59" s="611" t="s">
        <v>108</v>
      </c>
      <c r="J59" s="600"/>
      <c r="K59" s="600"/>
      <c r="L59" s="608"/>
      <c r="M59" s="608"/>
      <c r="N59" s="608"/>
      <c r="O59" s="595"/>
      <c r="P59" s="595"/>
    </row>
    <row r="60" spans="1:27">
      <c r="A60" s="599" t="s">
        <v>279</v>
      </c>
      <c r="B60" s="612">
        <f t="shared" ref="B60:I60" si="2">$C$57*P41</f>
        <v>8054.8813763122616</v>
      </c>
      <c r="C60" s="612">
        <f t="shared" si="2"/>
        <v>0</v>
      </c>
      <c r="D60" s="612">
        <f t="shared" si="2"/>
        <v>0</v>
      </c>
      <c r="E60" s="612">
        <f t="shared" si="2"/>
        <v>2757.3764047541968</v>
      </c>
      <c r="F60" s="612">
        <f t="shared" si="2"/>
        <v>8272.1292142625916</v>
      </c>
      <c r="G60" s="612">
        <f t="shared" si="2"/>
        <v>45.120704805068677</v>
      </c>
      <c r="H60" s="612">
        <f t="shared" si="2"/>
        <v>0</v>
      </c>
      <c r="I60" s="613">
        <f t="shared" si="2"/>
        <v>0</v>
      </c>
      <c r="J60" s="570"/>
      <c r="K60" s="570"/>
      <c r="L60" s="608"/>
      <c r="M60" s="608"/>
      <c r="N60" s="608"/>
      <c r="O60" s="595"/>
      <c r="P60" s="595"/>
    </row>
    <row r="61" spans="1:27" ht="15.75" thickBot="1">
      <c r="A61" s="614" t="s">
        <v>280</v>
      </c>
      <c r="B61" s="615">
        <f t="shared" ref="B61:I61" si="3">$B$57*P41</f>
        <v>10020.11862368774</v>
      </c>
      <c r="C61" s="615">
        <f t="shared" si="3"/>
        <v>0</v>
      </c>
      <c r="D61" s="615">
        <f t="shared" si="3"/>
        <v>0</v>
      </c>
      <c r="E61" s="615">
        <f t="shared" si="3"/>
        <v>3430.1235952458023</v>
      </c>
      <c r="F61" s="615">
        <f t="shared" si="3"/>
        <v>10290.370785737407</v>
      </c>
      <c r="G61" s="615">
        <f t="shared" si="3"/>
        <v>56.129295194931309</v>
      </c>
      <c r="H61" s="615">
        <f t="shared" si="3"/>
        <v>0</v>
      </c>
      <c r="I61" s="616">
        <f t="shared" si="3"/>
        <v>0</v>
      </c>
      <c r="J61" s="570"/>
      <c r="K61" s="570"/>
      <c r="L61" s="608"/>
      <c r="M61" s="608"/>
      <c r="N61" s="608"/>
      <c r="O61" s="595"/>
      <c r="P61" s="595"/>
    </row>
    <row r="62" spans="1:27">
      <c r="J62" s="556"/>
      <c r="K62" s="556"/>
      <c r="L62" s="556"/>
      <c r="M62" s="556"/>
      <c r="N62" s="556"/>
    </row>
    <row r="63" spans="1:27">
      <c r="J63" s="556"/>
      <c r="K63" s="556"/>
      <c r="L63" s="556"/>
      <c r="M63" s="556"/>
      <c r="N63"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2021-06-29T15:44:16Z</dcterms:modified>
</cp:coreProperties>
</file>