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<sst xmlns="http://schemas.openxmlformats.org/spreadsheetml/2006/main" count="2485" uniqueCount="908">
  <si>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</si>
  <si>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</si>
  <si>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</si>
  <si>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</si>
  <si>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</si>
  <si>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</si>
  <si>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</si>
  <si>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</si>
  <si>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</si>
  <si>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</si>
  <si>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</si>
  <si>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</si>
  <si>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</si>
  <si>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</si>
  <si>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</si>
  <si>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</si>
  <si>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</si>
  <si>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</si>
  <si>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</si>
  <si>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</si>
  <si>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</si>
  <si>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</si>
  <si>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</si>
  <si>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</si>
  <si>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</si>
  <si>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</si>
  <si>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</si>
  <si>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</si>
  <si>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</si>
  <si>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</si>
  <si>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</si>
  <si>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</si>
  <si>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</si>
  <si>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</si>
  <si>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</si>
  <si>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</si>
  <si>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</si>
  <si>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</si>
  <si>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</si>
  <si>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</si>
  <si>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</si>
  <si>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</si>
  <si>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</si>
  <si>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</si>
  <si>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</si>
  <si>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</si>
  <si>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</si>
  <si>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</si>
  <si>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</si>
  <si>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</si>
  <si>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</si>
  <si>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</si>
  <si>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</si>
  <si>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</si>
  <si>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</si>
  <si>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</si>
  <si>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</si>
  <si>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</si>
  <si>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</si>
  <si>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</si>
  <si>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</si>
  <si>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</si>
  <si>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</si>
  <si>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</si>
  <si>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</si>
  <si>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</si>
  <si>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</si>
  <si>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</si>
  <si>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</si>
  <si>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</si>
  <si>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</si>
  <si>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</si>
  <si>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</si>
  <si>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</si>
  <si>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</si>
  <si>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</si>
  <si>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</si>
  <si>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</si>
  <si>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</si>
  <si>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</si>
  <si>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</si>
  <si>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</si>
  <si>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</si>
  <si>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</si>
  <si>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</si>
  <si>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</si>
  <si>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</si>
  <si>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</si>
  <si>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</si>
  <si>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</si>
  <si>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</si>
  <si>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</si>
  <si>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</si>
  <si>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</si>
  <si>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</si>
  <si>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</si>
  <si>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</si>
  <si>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</si>
  <si>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</si>
  <si>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</si>
  <si>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</si>
  <si>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</si>
  <si>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</si>
  <si>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</si>
  <si>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</si>
  <si>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</si>
  <si>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</si>
  <si>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</si>
  <si>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</si>
  <si>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</si>
  <si>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</si>
  <si>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</si>
  <si>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</si>
  <si>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</si>
  <si>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</si>
  <si>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</si>
  <si>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</si>
  <si>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</si>
  <si>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</si>
  <si>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</si>
  <si>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</si>
  <si>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</si>
  <si>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</si>
  <si>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</si>
  <si>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</si>
  <si>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</si>
  <si>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</si>
  <si>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</si>
  <si>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</si>
  <si>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</si>
  <si>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</si>
  <si>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</si>
  <si>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</si>
  <si>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</si>
  <si>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</si>
  <si>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</si>
  <si>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</si>
  <si>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</si>
  <si>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</si>
  <si>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</si>
  <si>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</si>
  <si>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</si>
  <si>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</si>
  <si>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</si>
  <si>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</si>
  <si>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</si>
  <si>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</si>
  <si>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</si>
  <si>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</si>
  <si>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</si>
  <si>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</si>
  <si>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</si>
  <si>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</si>
  <si>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</si>
  <si>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</si>
  <si>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</si>
  <si>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</si>
  <si>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</si>
  <si>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</si>
  <si>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</si>
  <si>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</si>
  <si>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</si>
  <si>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</si>
  <si>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</si>
  <si>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</si>
  <si>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</si>
  <si>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</si>
  <si>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</si>
  <si>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</si>
  <si>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</si>
  <si>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</si>
  <si>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</si>
  <si>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</si>
  <si>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</si>
  <si>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</si>
  <si>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</si>
  <si>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</si>
  <si>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</si>
  <si>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</si>
  <si>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</si>
  <si>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</si>
  <si>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</si>
  <si>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</si>
  <si>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</si>
  <si>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</si>
  <si>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</si>
  <si>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</si>
  <si>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</si>
  <si>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</si>
  <si>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</si>
  <si>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</si>
  <si>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</si>
  <si>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</si>
  <si>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</si>
  <si>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</si>
  <si>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</si>
  <si>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</si>
  <si>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</si>
  <si>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</si>
  <si>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</si>
  <si>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</si>
  <si>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</si>
  <si>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</si>
  <si>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</si>
  <si>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</si>
  <si>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</si>
  <si>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</si>
  <si>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</si>
  <si>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</si>
  <si>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</si>
  <si>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</si>
  <si>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</si>
  <si>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</si>
  <si>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</si>
  <si>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</si>
  <si>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</si>
  <si>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</si>
  <si>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</si>
  <si>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</si>
  <si>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</si>
  <si>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</si>
  <si>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</si>
  <si>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</si>
  <si>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</si>
  <si>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</si>
  <si>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</si>
  <si>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</si>
  <si>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</si>
  <si>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</si>
  <si>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</si>
  <si>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</si>
  <si>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</si>
  <si>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</si>
  <si>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</si>
  <si>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</si>
  <si>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</si>
  <si>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</si>
  <si>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</si>
  <si>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</si>
  <si>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</si>
  <si>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</si>
  <si>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</si>
  <si>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</si>
  <si>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</si>
  <si>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</si>
  <si>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</si>
  <si>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</si>
  <si>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</si>
  <si>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</si>
  <si>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</si>
  <si>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</si>
  <si>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</si>
  <si>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</si>
  <si>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</si>
  <si>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</si>
  <si>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</si>
  <si>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</si>
  <si>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</si>
  <si>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</si>
  <si>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</si>
  <si>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</si>
  <si>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</si>
  <si>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</si>
  <si>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</si>
  <si>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</si>
  <si>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</si>
  <si>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</si>
  <si>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</si>
  <si>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</si>
  <si>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</si>
  <si>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</si>
  <si>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</si>
  <si>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</si>
  <si>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</si>
  <si>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</si>
  <si>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</si>
  <si>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</si>
  <si>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</si>
  <si>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</si>
  <si>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</si>
  <si>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</si>
  <si>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</si>
  <si>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</si>
  <si>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</si>
  <si>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</si>
  <si>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</si>
  <si>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</si>
  <si>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</si>
  <si>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</si>
  <si>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</si>
  <si>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</si>
  <si>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</si>
  <si>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</si>
  <si>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</si>
  <si>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</si>
  <si>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</si>
  <si>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</si>
  <si>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</si>
  <si>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</si>
  <si>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</si>
  <si>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</si>
  <si>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</si>
  <si>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</si>
  <si>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</si>
  <si>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</si>
  <si>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</si>
  <si>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</si>
  <si>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</si>
  <si>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</si>
  <si>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</si>
  <si>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</si>
  <si>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</si>
  <si>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</si>
  <si>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</si>
  <si>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</si>
  <si>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</si>
  <si>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</si>
  <si>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</si>
  <si>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</si>
  <si>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</si>
  <si>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</si>
  <si>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</si>
  <si>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</si>
  <si>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</si>
  <si>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</si>
  <si>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</si>
  <si>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</si>
  <si>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</si>
  <si>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</si>
  <si>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</si>
  <si>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</si>
  <si>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</si>
  <si>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</si>
  <si>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</si>
  <si>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</si>
  <si>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</si>
  <si>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</si>
  <si>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</si>
  <si>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</si>
  <si>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</si>
  <si>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</si>
  <si>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</si>
  <si>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</si>
  <si>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</si>
  <si>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</si>
  <si>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</si>
  <si>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</si>
  <si>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</si>
  <si>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</si>
  <si>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</si>
  <si>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</si>
  <si>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</si>
  <si>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</si>
  <si>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</si>
  <si>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</si>
  <si>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</si>
  <si>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</si>
  <si>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</si>
  <si>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</si>
  <si>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</si>
  <si>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</si>
  <si>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</si>
  <si>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</si>
  <si>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</si>
  <si>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</si>
  <si>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</si>
  <si>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</si>
  <si>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</si>
  <si>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</si>
  <si>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</si>
  <si>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</si>
  <si>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</si>
  <si>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</si>
  <si>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</si>
  <si>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</si>
  <si>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</si>
  <si>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</si>
  <si>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</si>
  <si>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</si>
  <si>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</si>
  <si>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</si>
  <si>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</si>
  <si>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</si>
  <si>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</si>
  <si>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</si>
  <si>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</si>
  <si>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</si>
  <si>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</si>
  <si>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</si>
  <si>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</si>
  <si>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</si>
  <si>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</si>
  <si>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</si>
  <si>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</si>
  <si>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</si>
  <si>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</si>
  <si>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</si>
  <si>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</si>
  <si>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</si>
  <si>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</si>
  <si>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</si>
  <si>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</si>
  <si>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</si>
  <si>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</si>
  <si>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</si>
  <si>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</si>
  <si>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</si>
  <si>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</si>
  <si>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</si>
  <si>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</si>
  <si>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</si>
  <si>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</si>
  <si>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</si>
  <si>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</si>
  <si>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</si>
  <si>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</si>
  <si>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</si>
  <si>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</si>
  <si>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</si>
  <si>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</si>
  <si>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</si>
  <si>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</si>
  <si>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</si>
  <si>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</si>
  <si>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</si>
  <si>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</si>
  <si>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</si>
  <si>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</si>
  <si>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</si>
  <si>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</si>
  <si>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</si>
  <si>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</si>
  <si>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</si>
  <si>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</si>
  <si>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</si>
  <si>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</si>
  <si>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</si>
  <si>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</si>
  <si>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</si>
  <si>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</si>
  <si>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</si>
  <si>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</si>
  <si>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</si>
  <si>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</si>
  <si>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</si>
  <si>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</si>
  <si>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</si>
  <si>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</si>
  <si>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</si>
  <si>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</si>
  <si>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</si>
  <si>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</si>
  <si>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</si>
  <si>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</si>
  <si>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</si>
  <si>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</si>
  <si>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</si>
  <si>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</si>
  <si>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</si>
  <si>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</si>
  <si>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</si>
  <si>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</si>
  <si>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</si>
  <si>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</si>
  <si>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</si>
  <si>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</si>
  <si>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</si>
  <si>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</si>
  <si>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</si>
  <si>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</si>
  <si>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</si>
  <si>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</si>
  <si>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</si>
  <si>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</si>
  <si>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</si>
  <si>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</si>
  <si>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</si>
  <si>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</si>
  <si>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</si>
  <si>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</si>
  <si>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</si>
  <si>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</si>
  <si>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</si>
  <si>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</si>
  <si>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</si>
  <si>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</si>
  <si>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</si>
  <si>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</si>
  <si>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</si>
  <si>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</si>
  <si>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</si>
  <si>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</si>
  <si>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</si>
  <si>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</si>
  <si>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</si>
  <si>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</si>
  <si>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</si>
  <si>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</si>
  <si>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</si>
  <si>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</si>
  <si>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</si>
  <si>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</si>
  <si>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</si>
  <si>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</si>
  <si>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</si>
  <si>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</si>
  <si>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</si>
  <si>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</si>
  <si>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</si>
  <si>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</si>
  <si>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</si>
  <si>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</si>
  <si>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</si>
  <si>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</si>
  <si>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</si>
  <si>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</si>
  <si>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</si>
  <si>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</si>
  <si>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</si>
  <si>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</si>
  <si>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</si>
  <si>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</si>
  <si>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</si>
  <si>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</si>
  <si>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</si>
  <si>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</si>
  <si>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</si>
  <si>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</si>
  <si>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</si>
  <si>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</si>
  <si>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</si>
  <si>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</si>
  <si>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</si>
  <si>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</si>
  <si>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</si>
  <si>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</si>
  <si>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</si>
  <si>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</si>
  <si>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</si>
  <si>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</si>
  <si>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</si>
  <si>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</si>
  <si>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</si>
  <si>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</si>
  <si>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</si>
  <si>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</si>
  <si>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</si>
  <si>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</si>
  <si>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</si>
  <si>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</si>
  <si>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</si>
  <si>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</si>
  <si>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</si>
  <si>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</si>
  <si>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</si>
  <si>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</si>
  <si>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</si>
  <si>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</si>
  <si>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</si>
  <si>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</si>
  <si>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</si>
  <si>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</si>
  <si>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</si>
  <si>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</si>
  <si>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</si>
  <si>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</si>
  <si>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</si>
  <si>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</si>
  <si>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</si>
  <si>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</si>
  <si>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</si>
  <si>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</si>
  <si>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</si>
  <si>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</si>
  <si>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</si>
  <si>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</si>
  <si>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</si>
  <si>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</si>
  <si>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</si>
  <si>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</si>
  <si>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</si>
  <si>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</si>
  <si>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</si>
  <si>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</si>
  <si>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</si>
  <si>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</si>
  <si>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</si>
  <si>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</si>
  <si>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</si>
  <si>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</si>
  <si>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</si>
  <si>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</si>
  <si>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</si>
  <si>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</si>
  <si>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</si>
  <si>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</si>
  <si>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</si>
  <si>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</si>
  <si>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</si>
  <si>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</si>
  <si>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</si>
  <si>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</si>
  <si>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</si>
  <si>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</si>
  <si>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</si>
  <si>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</si>
  <si>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</si>
  <si>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</si>
  <si>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</si>
  <si>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</si>
  <si>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</si>
  <si>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</si>
  <si>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</si>
  <si>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</si>
  <si>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</si>
  <si>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</si>
  <si>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</si>
  <si>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</si>
  <si>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</si>
  <si>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</si>
  <si>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</si>
  <si>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</si>
  <si>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</si>
  <si>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</si>
  <si>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</si>
  <si>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</si>
  <si>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</si>
  <si>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</si>
  <si>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</si>
  <si>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</si>
  <si>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</si>
  <si>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</si>
  <si>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</si>
  <si>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</si>
  <si>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</si>
  <si>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</si>
  <si>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</si>
  <si>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</si>
  <si>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</si>
  <si>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</si>
  <si>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</si>
  <si>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</si>
  <si>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</si>
  <si>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</si>
  <si>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</si>
  <si>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</si>
  <si>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</si>
  <si>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</si>
  <si>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</si>
  <si>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</si>
  <si>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</si>
  <si>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</si>
  <si>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</si>
  <si>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</si>
  <si>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</si>
  <si>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</si>
  <si>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</si>
  <si>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</si>
  <si>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</si>
  <si>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</si>
  <si>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</si>
  <si>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</si>
  <si>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</si>
  <si>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</si>
  <si>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</si>
  <si>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</si>
  <si>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</si>
  <si>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</si>
  <si>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</si>
  <si>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</si>
  <si>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</si>
  <si>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</si>
  <si>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</si>
  <si>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</si>
  <si>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</si>
  <si>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</si>
  <si>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</si>
  <si>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</si>
  <si>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</si>
  <si>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</si>
  <si>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</si>
  <si>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</si>
  <si>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</si>
  <si>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</si>
  <si>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</si>
  <si>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</si>
  <si>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</si>
  <si>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</si>
  <si>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</si>
  <si>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</si>
  <si>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</si>
  <si>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</si>
  <si>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</si>
  <si>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</si>
  <si>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</si>
  <si>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</si>
  <si>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</si>
  <si>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</si>
  <si>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</si>
  <si>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</si>
  <si>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</si>
  <si>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</si>
  <si>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</si>
  <si>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</si>
  <si>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</si>
  <si>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</si>
  <si>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</si>
  <si>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</si>
  <si>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</si>
  <si>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</si>
  <si>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</si>
  <si>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</si>
  <si>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</si>
  <si>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</si>
  <si>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</si>
  <si>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</si>
  <si>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</si>
  <si>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</si>
  <si>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</si>
  <si>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</si>
  <si>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</si>
  <si>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</si>
  <si>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</si>
  <si>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</si>
  <si>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</si>
  <si>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</si>
  <si>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</si>
  <si>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</si>
  <si>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</si>
  <si>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</si>
  <si>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</si>
  <si>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</si>
  <si>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</si>
  <si>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</si>
  <si>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</si>
  <si>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</si>
  <si>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</si>
  <si>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</si>
  <si>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</si>
  <si>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</si>
  <si>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</si>
  <si>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</si>
  <si>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</si>
  <si>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</si>
  <si>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</si>
  <si>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</si>
  <si>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</si>
  <si>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</si>
  <si>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</si>
  <si>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</si>
  <si>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</si>
  <si>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</si>
  <si>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</si>
  <si>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</si>
  <si>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</si>
  <si>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</si>
  <si>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</si>
  <si>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</si>
  <si>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</si>
  <si>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</si>
  <si>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</si>
  <si>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</si>
  <si>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</si>
  <si>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</si>
  <si>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</si>
  <si>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</si>
  <si>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</si>
  <si>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</si>
  <si>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</si>
  <si>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</si>
  <si>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</si>
  <si>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</si>
  <si>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</si>
  <si>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</si>
  <si>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</si>
  <si>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</si>
  <si>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</si>
  <si>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</si>
  <si>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</si>
  <si>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</si>
  <si>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</si>
  <si>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</si>
  <si>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</si>
  <si>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</si>
  <si>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</si>
  <si>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</si>
  <si>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</si>
  <si>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</si>
  <si>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</si>
  <si>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</si>
  <si>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</si>
  <si>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</si>
  <si>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</si>
  <si>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</si>
  <si>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</si>
  <si>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</si>
  <si>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</si>
  <si>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</si>
  <si>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</si>
  <si>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</si>
  <si>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</si>
  <si>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</si>
  <si>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</si>
  <si>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</si>
  <si>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</si>
  <si>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</si>
  <si>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</si>
  <si>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</si>
  <si>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</si>
  <si>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</si>
  <si>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</si>
  <si>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</si>
  <si>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</si>
  <si>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</si>
  <si>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</si>
  <si>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</si>
  <si>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</si>
  <si>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</si>
  <si>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</si>
  <si>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</si>
  <si>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</si>
  <si>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</si>
  <si>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</si>
  <si>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</si>
  <si>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</si>
  <si>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</si>
  <si>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</si>
  <si>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</si>
  <si>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</si>
  <si>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</si>
  <si>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</si>
  <si>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</si>
  <si>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</si>
  <si>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</si>
  <si>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</si>
  <si>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</si>
  <si>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</si>
  <si>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</si>
  <si>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</si>
  <si>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</si>
  <si>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</si>
  <si>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</si>
  <si>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</si>
  <si>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</si>
  <si>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</si>
  <si>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</si>
  <si>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</si>
  <si>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</si>
  <si>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</si>
  <si>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</si>
  <si>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</si>
  <si>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</si>
  <si>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</si>
  <si>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</si>
  <si>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</si>
  <si>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</si>
  <si>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</si>
  <si>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</si>
  <si>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</si>
  <si>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</si>
  <si>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</si>
  <si>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</si>
  <si>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</si>
  <si>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</si>
  <si>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</si>
  <si>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</si>
  <si>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</si>
  <si>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</si>
  <si>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</si>
  <si>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</si>
  <si>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</si>
  <si>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</si>
  <si>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</si>
  <si>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</si>
  <si>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</si>
  <si>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</si>
  <si>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</si>
  <si>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</si>
  <si>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</si>
  <si>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</si>
  <si>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</si>
  <si>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</si>
  <si>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</si>
  <si>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</si>
  <si>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</si>
  <si>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</si>
  <si>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</si>
  <si>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</si>
  <si>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</si>
  <si>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</si>
  <si>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</si>
  <si>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</si>
  <si>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</si>
  <si>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</si>
  <si>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</si>
  <si>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</si>
  <si>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</si>
  <si>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</si>
  <si>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43010</t>
  </si>
  <si>
    <t>MALDEGEM</t>
  </si>
  <si>
    <t>Fluvius</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</si>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</sst>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210306.22767922367</c:v>
                </c:pt>
                <c:pt idx="1">
                  <c:v>57862.237684050408</c:v>
                </c:pt>
                <c:pt idx="2">
                  <c:v>1542.9860000000001</c:v>
                </c:pt>
                <c:pt idx="3">
                  <c:v>27849.230776685818</c:v>
                </c:pt>
                <c:pt idx="4">
                  <c:v>72702.050989478012</c:v>
                </c:pt>
                <c:pt idx="5">
                  <c:v>225477.90377331429</c:v>
                </c:pt>
                <c:pt idx="6">
                  <c:v>1486.908772630685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210306.22767922367</c:v>
                </c:pt>
                <c:pt idx="1">
                  <c:v>57862.237684050408</c:v>
                </c:pt>
                <c:pt idx="2">
                  <c:v>1542.9860000000001</c:v>
                </c:pt>
                <c:pt idx="3">
                  <c:v>27849.230776685818</c:v>
                </c:pt>
                <c:pt idx="4">
                  <c:v>72702.050989478012</c:v>
                </c:pt>
                <c:pt idx="5">
                  <c:v>225477.90377331429</c:v>
                </c:pt>
                <c:pt idx="6">
                  <c:v>1486.908772630685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40694.360188139486</c:v>
                </c:pt>
                <c:pt idx="2">
                  <c:v>10313.525731973681</c:v>
                </c:pt>
                <c:pt idx="3">
                  <c:v>233.80453136843377</c:v>
                </c:pt>
                <c:pt idx="4">
                  <c:v>6865.1121955146309</c:v>
                </c:pt>
                <c:pt idx="5">
                  <c:v>12912.283666398802</c:v>
                </c:pt>
                <c:pt idx="6">
                  <c:v>56467.17220304357</c:v>
                </c:pt>
                <c:pt idx="7">
                  <c:v>373.89165174127652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40694.360188139486</c:v>
                </c:pt>
                <c:pt idx="2">
                  <c:v>10313.525731973681</c:v>
                </c:pt>
                <c:pt idx="3">
                  <c:v>233.80453136843377</c:v>
                </c:pt>
                <c:pt idx="4">
                  <c:v>6865.1121955146309</c:v>
                </c:pt>
                <c:pt idx="5">
                  <c:v>12912.283666398802</c:v>
                </c:pt>
                <c:pt idx="6">
                  <c:v>56467.17220304357</c:v>
                </c:pt>
                <c:pt idx="7">
                  <c:v>373.89165174127652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43010</v>
      </c>
      <c r="B6" s="384"/>
      <c r="C6" s="385"/>
    </row>
    <row r="7" spans="1:7" s="382" customFormat="1" ht="15.75" customHeight="1">
      <c r="A7" s="386" t="str">
        <f>txtMunicipality</f>
        <v>MALDEGEM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23702.105804345527</v>
      </c>
      <c r="D10" s="973">
        <f ca="1">tertiair!C16</f>
        <v>0</v>
      </c>
      <c r="E10" s="973">
        <f ca="1">tertiair!D16</f>
        <v>28762.140154200861</v>
      </c>
      <c r="F10" s="973">
        <f>tertiair!E16</f>
        <v>385.28324430460606</v>
      </c>
      <c r="G10" s="973">
        <f ca="1">tertiair!F16</f>
        <v>3963.9704962731757</v>
      </c>
      <c r="H10" s="973">
        <f>tertiair!G16</f>
        <v>0</v>
      </c>
      <c r="I10" s="973">
        <f>tertiair!H16</f>
        <v>0</v>
      </c>
      <c r="J10" s="973">
        <f>tertiair!I16</f>
        <v>0</v>
      </c>
      <c r="K10" s="973">
        <f>tertiair!J16</f>
        <v>6.2127696323075243E-2</v>
      </c>
      <c r="L10" s="973">
        <f>tertiair!K16</f>
        <v>0</v>
      </c>
      <c r="M10" s="973">
        <f ca="1">tertiair!L16</f>
        <v>0</v>
      </c>
      <c r="N10" s="973">
        <f>tertiair!M16</f>
        <v>0</v>
      </c>
      <c r="O10" s="973">
        <f ca="1">tertiair!N16</f>
        <v>2482.258523896578</v>
      </c>
      <c r="P10" s="973">
        <f>tertiair!O16</f>
        <v>14.070000000000002</v>
      </c>
      <c r="Q10" s="974">
        <f>tertiair!P16</f>
        <v>95.333333333333343</v>
      </c>
      <c r="R10" s="668">
        <f ca="1">SUM(C10:Q10)</f>
        <v>59405.223684050405</v>
      </c>
      <c r="S10" s="67"/>
    </row>
    <row r="11" spans="1:19" s="441" customFormat="1">
      <c r="A11" s="777" t="s">
        <v>219</v>
      </c>
      <c r="B11" s="782"/>
      <c r="C11" s="973">
        <f>huishoudens!B8</f>
        <v>43097.385260757284</v>
      </c>
      <c r="D11" s="973">
        <f>huishoudens!C8</f>
        <v>0</v>
      </c>
      <c r="E11" s="973">
        <f>huishoudens!D8</f>
        <v>90718.074568698605</v>
      </c>
      <c r="F11" s="973">
        <f>huishoudens!E8</f>
        <v>2251.5228884010139</v>
      </c>
      <c r="G11" s="973">
        <f>huishoudens!F8</f>
        <v>57043.497497892218</v>
      </c>
      <c r="H11" s="973">
        <f>huishoudens!G8</f>
        <v>0</v>
      </c>
      <c r="I11" s="973">
        <f>huishoudens!H8</f>
        <v>0</v>
      </c>
      <c r="J11" s="973">
        <f>huishoudens!I8</f>
        <v>0</v>
      </c>
      <c r="K11" s="973">
        <f>huishoudens!J8</f>
        <v>274.48691018127386</v>
      </c>
      <c r="L11" s="973">
        <f>huishoudens!K8</f>
        <v>0</v>
      </c>
      <c r="M11" s="973">
        <f>huishoudens!L8</f>
        <v>0</v>
      </c>
      <c r="N11" s="973">
        <f>huishoudens!M8</f>
        <v>0</v>
      </c>
      <c r="O11" s="973">
        <f>huishoudens!N8</f>
        <v>14527.75388662664</v>
      </c>
      <c r="P11" s="973">
        <f>huishoudens!O8</f>
        <v>544.04000000000008</v>
      </c>
      <c r="Q11" s="974">
        <f>huishoudens!P8</f>
        <v>1849.4666666666667</v>
      </c>
      <c r="R11" s="668">
        <f>SUM(C11:Q11)</f>
        <v>210306.22767922367</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39338.826002513299</v>
      </c>
      <c r="D13" s="973">
        <f>industrie!C18</f>
        <v>0</v>
      </c>
      <c r="E13" s="973">
        <f>industrie!D18</f>
        <v>16823.258177529387</v>
      </c>
      <c r="F13" s="973">
        <f>industrie!E18</f>
        <v>3182.4399435224905</v>
      </c>
      <c r="G13" s="973">
        <f>industrie!F18</f>
        <v>10448.237965139171</v>
      </c>
      <c r="H13" s="973">
        <f>industrie!G18</f>
        <v>0</v>
      </c>
      <c r="I13" s="973">
        <f>industrie!H18</f>
        <v>0</v>
      </c>
      <c r="J13" s="973">
        <f>industrie!I18</f>
        <v>0</v>
      </c>
      <c r="K13" s="973">
        <f>industrie!J18</f>
        <v>115.77764344949226</v>
      </c>
      <c r="L13" s="973">
        <f>industrie!K18</f>
        <v>0</v>
      </c>
      <c r="M13" s="973">
        <f>industrie!L18</f>
        <v>0</v>
      </c>
      <c r="N13" s="973">
        <f>industrie!M18</f>
        <v>0</v>
      </c>
      <c r="O13" s="973">
        <f>industrie!N18</f>
        <v>2793.5112573241759</v>
      </c>
      <c r="P13" s="973">
        <f>industrie!O18</f>
        <v>0</v>
      </c>
      <c r="Q13" s="974">
        <f>industrie!P18</f>
        <v>0</v>
      </c>
      <c r="R13" s="668">
        <f>SUM(C13:Q13)</f>
        <v>72702.050989478012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106138.3170676161</v>
      </c>
      <c r="D16" s="700">
        <f t="shared" ref="D16:R16" ca="1" si="0">SUM(D9:D15)</f>
        <v>0</v>
      </c>
      <c r="E16" s="700">
        <f t="shared" ca="1" si="0"/>
        <v>136303.47290042884</v>
      </c>
      <c r="F16" s="700">
        <f t="shared" si="0"/>
        <v>5819.2460762281098</v>
      </c>
      <c r="G16" s="700">
        <f t="shared" ca="1" si="0"/>
        <v>71455.705959304571</v>
      </c>
      <c r="H16" s="700">
        <f t="shared" si="0"/>
        <v>0</v>
      </c>
      <c r="I16" s="700">
        <f t="shared" si="0"/>
        <v>0</v>
      </c>
      <c r="J16" s="700">
        <f t="shared" si="0"/>
        <v>0</v>
      </c>
      <c r="K16" s="700">
        <f t="shared" si="0"/>
        <v>390.3266813270892</v>
      </c>
      <c r="L16" s="700">
        <f t="shared" si="0"/>
        <v>0</v>
      </c>
      <c r="M16" s="700">
        <f t="shared" ca="1" si="0"/>
        <v>0</v>
      </c>
      <c r="N16" s="700">
        <f t="shared" si="0"/>
        <v>0</v>
      </c>
      <c r="O16" s="700">
        <f t="shared" ca="1" si="0"/>
        <v>19803.523667847392</v>
      </c>
      <c r="P16" s="700">
        <f t="shared" si="0"/>
        <v>558.11000000000013</v>
      </c>
      <c r="Q16" s="700">
        <f t="shared" si="0"/>
        <v>1944.8</v>
      </c>
      <c r="R16" s="700">
        <f t="shared" ca="1" si="0"/>
        <v>342413.50235275208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14.817256826364947</v>
      </c>
      <c r="D19" s="973">
        <f>transport!C54</f>
        <v>0</v>
      </c>
      <c r="E19" s="973">
        <f>transport!D54</f>
        <v>0</v>
      </c>
      <c r="F19" s="973">
        <f>transport!E54</f>
        <v>0</v>
      </c>
      <c r="G19" s="973">
        <f>transport!F54</f>
        <v>0</v>
      </c>
      <c r="H19" s="973">
        <f>transport!G54</f>
        <v>1391.9342042843405</v>
      </c>
      <c r="I19" s="973">
        <f>transport!H54</f>
        <v>0</v>
      </c>
      <c r="J19" s="973">
        <f>transport!I54</f>
        <v>0</v>
      </c>
      <c r="K19" s="973">
        <f>transport!J54</f>
        <v>0</v>
      </c>
      <c r="L19" s="973">
        <f>transport!K54</f>
        <v>0</v>
      </c>
      <c r="M19" s="973">
        <f>transport!L54</f>
        <v>0</v>
      </c>
      <c r="N19" s="973">
        <f>transport!M54</f>
        <v>80.157311519979714</v>
      </c>
      <c r="O19" s="973">
        <f>transport!N54</f>
        <v>0</v>
      </c>
      <c r="P19" s="973">
        <f>transport!O54</f>
        <v>0</v>
      </c>
      <c r="Q19" s="974">
        <f>transport!P54</f>
        <v>0</v>
      </c>
      <c r="R19" s="668">
        <f>SUM(C19:Q19)</f>
        <v>1486.908772630685</v>
      </c>
      <c r="S19" s="67"/>
    </row>
    <row r="20" spans="1:19" s="441" customFormat="1">
      <c r="A20" s="777" t="s">
        <v>301</v>
      </c>
      <c r="B20" s="782"/>
      <c r="C20" s="973">
        <f>transport!B14</f>
        <v>125.9491670967253</v>
      </c>
      <c r="D20" s="973">
        <f>transport!C14</f>
        <v>0</v>
      </c>
      <c r="E20" s="973">
        <f>transport!D14</f>
        <v>220.19812979809279</v>
      </c>
      <c r="F20" s="973">
        <f>transport!E14</f>
        <v>386.39866327142045</v>
      </c>
      <c r="G20" s="973">
        <f>transport!F14</f>
        <v>0</v>
      </c>
      <c r="H20" s="973">
        <f>transport!G14</f>
        <v>177877.04378594572</v>
      </c>
      <c r="I20" s="973">
        <f>transport!H14</f>
        <v>35432.627525429045</v>
      </c>
      <c r="J20" s="973">
        <f>transport!I14</f>
        <v>0</v>
      </c>
      <c r="K20" s="973">
        <f>transport!J14</f>
        <v>0</v>
      </c>
      <c r="L20" s="973">
        <f>transport!K14</f>
        <v>0</v>
      </c>
      <c r="M20" s="973">
        <f>transport!L14</f>
        <v>0</v>
      </c>
      <c r="N20" s="973">
        <f>transport!M14</f>
        <v>11435.686501773303</v>
      </c>
      <c r="O20" s="973">
        <f>transport!N14</f>
        <v>0</v>
      </c>
      <c r="P20" s="973">
        <f>transport!O14</f>
        <v>0</v>
      </c>
      <c r="Q20" s="974">
        <f>transport!P14</f>
        <v>0</v>
      </c>
      <c r="R20" s="668">
        <f>SUM(C20:Q20)</f>
        <v>225477.90377331429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140.76642392309026</v>
      </c>
      <c r="D22" s="780">
        <f t="shared" ref="D22:R22" si="1">SUM(D18:D21)</f>
        <v>0</v>
      </c>
      <c r="E22" s="780">
        <f t="shared" si="1"/>
        <v>220.19812979809279</v>
      </c>
      <c r="F22" s="780">
        <f t="shared" si="1"/>
        <v>386.39866327142045</v>
      </c>
      <c r="G22" s="780">
        <f t="shared" si="1"/>
        <v>0</v>
      </c>
      <c r="H22" s="780">
        <f t="shared" si="1"/>
        <v>179268.97799023005</v>
      </c>
      <c r="I22" s="780">
        <f t="shared" si="1"/>
        <v>35432.627525429045</v>
      </c>
      <c r="J22" s="780">
        <f t="shared" si="1"/>
        <v>0</v>
      </c>
      <c r="K22" s="780">
        <f t="shared" si="1"/>
        <v>0</v>
      </c>
      <c r="L22" s="780">
        <f t="shared" si="1"/>
        <v>0</v>
      </c>
      <c r="M22" s="780">
        <f t="shared" si="1"/>
        <v>0</v>
      </c>
      <c r="N22" s="780">
        <f t="shared" si="1"/>
        <v>11515.843813293282</v>
      </c>
      <c r="O22" s="780">
        <f t="shared" si="1"/>
        <v>0</v>
      </c>
      <c r="P22" s="780">
        <f t="shared" si="1"/>
        <v>0</v>
      </c>
      <c r="Q22" s="780">
        <f t="shared" si="1"/>
        <v>0</v>
      </c>
      <c r="R22" s="780">
        <f t="shared" si="1"/>
        <v>226964.81254594497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5151.449598707828</v>
      </c>
      <c r="D24" s="973">
        <f>+landbouw!C8</f>
        <v>62.357142857142847</v>
      </c>
      <c r="E24" s="973">
        <f>+landbouw!D8</f>
        <v>277.01212037391434</v>
      </c>
      <c r="F24" s="973">
        <f>+landbouw!E8</f>
        <v>151.41683804917898</v>
      </c>
      <c r="G24" s="973">
        <f>+landbouw!F8</f>
        <v>21460.660658491473</v>
      </c>
      <c r="H24" s="973">
        <f>+landbouw!G8</f>
        <v>0</v>
      </c>
      <c r="I24" s="973">
        <f>+landbouw!H8</f>
        <v>0</v>
      </c>
      <c r="J24" s="973">
        <f>+landbouw!I8</f>
        <v>0</v>
      </c>
      <c r="K24" s="973">
        <f>+landbouw!J8</f>
        <v>746.33441820627831</v>
      </c>
      <c r="L24" s="973">
        <f>+landbouw!K8</f>
        <v>0</v>
      </c>
      <c r="M24" s="973">
        <f>+landbouw!L8</f>
        <v>0</v>
      </c>
      <c r="N24" s="973">
        <f>+landbouw!M8</f>
        <v>0</v>
      </c>
      <c r="O24" s="973">
        <f>+landbouw!N8</f>
        <v>0</v>
      </c>
      <c r="P24" s="973">
        <f>+landbouw!O8</f>
        <v>0</v>
      </c>
      <c r="Q24" s="974">
        <f>+landbouw!P8</f>
        <v>0</v>
      </c>
      <c r="R24" s="668">
        <f>SUM(C24:Q24)</f>
        <v>27849.230776685818</v>
      </c>
      <c r="S24" s="67"/>
    </row>
    <row r="25" spans="1:19" s="441" customFormat="1" ht="15" thickBot="1">
      <c r="A25" s="799" t="s">
        <v>808</v>
      </c>
      <c r="B25" s="976"/>
      <c r="C25" s="977">
        <f>IF(Onbekend_ele_kWh="---",0,Onbekend_ele_kWh)/1000+IF(REST_rest_ele_kWh="---",0,REST_rest_ele_kWh)/1000</f>
        <v>2052.96501588913</v>
      </c>
      <c r="D25" s="977"/>
      <c r="E25" s="977">
        <f>IF(onbekend_gas_kWh="---",0,onbekend_gas_kWh)/1000+IF(REST_rest_gas_kWh="---",0,REST_rest_gas_kWh)/1000</f>
        <v>2539.6797560464802</v>
      </c>
      <c r="F25" s="977"/>
      <c r="G25" s="977"/>
      <c r="H25" s="977"/>
      <c r="I25" s="977"/>
      <c r="J25" s="977"/>
      <c r="K25" s="977"/>
      <c r="L25" s="977"/>
      <c r="M25" s="977"/>
      <c r="N25" s="977"/>
      <c r="O25" s="977"/>
      <c r="P25" s="977"/>
      <c r="Q25" s="978"/>
      <c r="R25" s="668">
        <f>SUM(C25:Q25)</f>
        <v>4592.6447719356102</v>
      </c>
      <c r="S25" s="67"/>
    </row>
    <row r="26" spans="1:19" s="441" customFormat="1" ht="15.75" thickBot="1">
      <c r="A26" s="673" t="s">
        <v>809</v>
      </c>
      <c r="B26" s="785"/>
      <c r="C26" s="780">
        <f>SUM(C24:C25)</f>
        <v>7204.414614596958</v>
      </c>
      <c r="D26" s="780">
        <f t="shared" ref="D26:R26" si="2">SUM(D24:D25)</f>
        <v>62.357142857142847</v>
      </c>
      <c r="E26" s="780">
        <f t="shared" si="2"/>
        <v>2816.6918764203947</v>
      </c>
      <c r="F26" s="780">
        <f t="shared" si="2"/>
        <v>151.41683804917898</v>
      </c>
      <c r="G26" s="780">
        <f t="shared" si="2"/>
        <v>21460.660658491473</v>
      </c>
      <c r="H26" s="780">
        <f t="shared" si="2"/>
        <v>0</v>
      </c>
      <c r="I26" s="780">
        <f t="shared" si="2"/>
        <v>0</v>
      </c>
      <c r="J26" s="780">
        <f t="shared" si="2"/>
        <v>0</v>
      </c>
      <c r="K26" s="780">
        <f t="shared" si="2"/>
        <v>746.33441820627831</v>
      </c>
      <c r="L26" s="780">
        <f t="shared" si="2"/>
        <v>0</v>
      </c>
      <c r="M26" s="780">
        <f t="shared" si="2"/>
        <v>0</v>
      </c>
      <c r="N26" s="780">
        <f t="shared" si="2"/>
        <v>0</v>
      </c>
      <c r="O26" s="780">
        <f t="shared" si="2"/>
        <v>0</v>
      </c>
      <c r="P26" s="780">
        <f t="shared" si="2"/>
        <v>0</v>
      </c>
      <c r="Q26" s="780">
        <f t="shared" si="2"/>
        <v>0</v>
      </c>
      <c r="R26" s="780">
        <f t="shared" si="2"/>
        <v>32441.875548621429</v>
      </c>
      <c r="S26" s="67"/>
    </row>
    <row r="27" spans="1:19" s="441" customFormat="1" ht="17.25" thickTop="1" thickBot="1">
      <c r="A27" s="674" t="s">
        <v>115</v>
      </c>
      <c r="B27" s="773"/>
      <c r="C27" s="675">
        <f ca="1">C22+C16+C26</f>
        <v>113483.49810613615</v>
      </c>
      <c r="D27" s="675">
        <f t="shared" ref="D27:R27" ca="1" si="3">D22+D16+D26</f>
        <v>62.357142857142847</v>
      </c>
      <c r="E27" s="675">
        <f t="shared" ca="1" si="3"/>
        <v>139340.36290664732</v>
      </c>
      <c r="F27" s="675">
        <f t="shared" si="3"/>
        <v>6357.0615775487095</v>
      </c>
      <c r="G27" s="675">
        <f t="shared" ca="1" si="3"/>
        <v>92916.36661779604</v>
      </c>
      <c r="H27" s="675">
        <f t="shared" si="3"/>
        <v>179268.97799023005</v>
      </c>
      <c r="I27" s="675">
        <f t="shared" si="3"/>
        <v>35432.627525429045</v>
      </c>
      <c r="J27" s="675">
        <f t="shared" si="3"/>
        <v>0</v>
      </c>
      <c r="K27" s="675">
        <f t="shared" si="3"/>
        <v>1136.6610995333676</v>
      </c>
      <c r="L27" s="675">
        <f t="shared" si="3"/>
        <v>0</v>
      </c>
      <c r="M27" s="675">
        <f t="shared" ca="1" si="3"/>
        <v>0</v>
      </c>
      <c r="N27" s="675">
        <f t="shared" si="3"/>
        <v>11515.843813293282</v>
      </c>
      <c r="O27" s="675">
        <f t="shared" ca="1" si="3"/>
        <v>19803.523667847392</v>
      </c>
      <c r="P27" s="675">
        <f t="shared" si="3"/>
        <v>558.11000000000013</v>
      </c>
      <c r="Q27" s="675">
        <f t="shared" si="3"/>
        <v>1944.8</v>
      </c>
      <c r="R27" s="675">
        <f t="shared" ca="1" si="3"/>
        <v>601820.19044731848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3591.5165400269602</v>
      </c>
      <c r="D40" s="973">
        <f ca="1">tertiair!C20</f>
        <v>0</v>
      </c>
      <c r="E40" s="973">
        <f ca="1">tertiair!D20</f>
        <v>5809.9523111485742</v>
      </c>
      <c r="F40" s="973">
        <f>tertiair!E20</f>
        <v>87.459296457145584</v>
      </c>
      <c r="G40" s="973">
        <f ca="1">tertiair!F20</f>
        <v>1058.3801225049381</v>
      </c>
      <c r="H40" s="973">
        <f>tertiair!G20</f>
        <v>0</v>
      </c>
      <c r="I40" s="973">
        <f>tertiair!H20</f>
        <v>0</v>
      </c>
      <c r="J40" s="973">
        <f>tertiair!I20</f>
        <v>0</v>
      </c>
      <c r="K40" s="973">
        <f>tertiair!J20</f>
        <v>2.1993204498368633E-2</v>
      </c>
      <c r="L40" s="973">
        <f>tertiair!K20</f>
        <v>0</v>
      </c>
      <c r="M40" s="973">
        <f ca="1">tertiair!L20</f>
        <v>0</v>
      </c>
      <c r="N40" s="973">
        <f>tertiair!M20</f>
        <v>0</v>
      </c>
      <c r="O40" s="973">
        <f ca="1">tertiair!N20</f>
        <v>0</v>
      </c>
      <c r="P40" s="973">
        <f>tertiair!O20</f>
        <v>0</v>
      </c>
      <c r="Q40" s="742">
        <f>tertiair!P20</f>
        <v>0</v>
      </c>
      <c r="R40" s="818">
        <f t="shared" ca="1" si="4"/>
        <v>10547.330263342115</v>
      </c>
    </row>
    <row r="41" spans="1:18">
      <c r="A41" s="790" t="s">
        <v>219</v>
      </c>
      <c r="B41" s="797"/>
      <c r="C41" s="973">
        <f ca="1">huishoudens!B12</f>
        <v>6530.4312314539475</v>
      </c>
      <c r="D41" s="973">
        <f ca="1">huishoudens!C12</f>
        <v>0</v>
      </c>
      <c r="E41" s="973">
        <f>huishoudens!D12</f>
        <v>18325.051062877119</v>
      </c>
      <c r="F41" s="973">
        <f>huishoudens!E12</f>
        <v>511.09569566703016</v>
      </c>
      <c r="G41" s="973">
        <f>huishoudens!F12</f>
        <v>15230.613831937224</v>
      </c>
      <c r="H41" s="973">
        <f>huishoudens!G12</f>
        <v>0</v>
      </c>
      <c r="I41" s="973">
        <f>huishoudens!H12</f>
        <v>0</v>
      </c>
      <c r="J41" s="973">
        <f>huishoudens!I12</f>
        <v>0</v>
      </c>
      <c r="K41" s="973">
        <f>huishoudens!J12</f>
        <v>97.168366204170937</v>
      </c>
      <c r="L41" s="973">
        <f>huishoudens!K12</f>
        <v>0</v>
      </c>
      <c r="M41" s="973">
        <f>huishoudens!L12</f>
        <v>0</v>
      </c>
      <c r="N41" s="973">
        <f>huishoudens!M12</f>
        <v>0</v>
      </c>
      <c r="O41" s="973">
        <f>huishoudens!N12</f>
        <v>0</v>
      </c>
      <c r="P41" s="973">
        <f>huishoudens!O12</f>
        <v>0</v>
      </c>
      <c r="Q41" s="742">
        <f>huishoudens!P12</f>
        <v>0</v>
      </c>
      <c r="R41" s="818">
        <f t="shared" ca="1" si="4"/>
        <v>40694.360188139486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5960.9068248849817</v>
      </c>
      <c r="D43" s="973">
        <f ca="1">industrie!C22</f>
        <v>0</v>
      </c>
      <c r="E43" s="973">
        <f>industrie!D22</f>
        <v>3398.2981518609363</v>
      </c>
      <c r="F43" s="973">
        <f>industrie!E22</f>
        <v>722.4138671796054</v>
      </c>
      <c r="G43" s="973">
        <f>industrie!F22</f>
        <v>2789.6795366921588</v>
      </c>
      <c r="H43" s="973">
        <f>industrie!G22</f>
        <v>0</v>
      </c>
      <c r="I43" s="973">
        <f>industrie!H22</f>
        <v>0</v>
      </c>
      <c r="J43" s="973">
        <f>industrie!I22</f>
        <v>0</v>
      </c>
      <c r="K43" s="973">
        <f>industrie!J22</f>
        <v>40.985285781120261</v>
      </c>
      <c r="L43" s="973">
        <f>industrie!K22</f>
        <v>0</v>
      </c>
      <c r="M43" s="973">
        <f>industrie!L22</f>
        <v>0</v>
      </c>
      <c r="N43" s="973">
        <f>industrie!M22</f>
        <v>0</v>
      </c>
      <c r="O43" s="973">
        <f>industrie!N22</f>
        <v>0</v>
      </c>
      <c r="P43" s="973">
        <f>industrie!O22</f>
        <v>0</v>
      </c>
      <c r="Q43" s="742">
        <f>industrie!P22</f>
        <v>0</v>
      </c>
      <c r="R43" s="817">
        <f t="shared" ca="1" si="4"/>
        <v>12912.283666398802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16082.854596365889</v>
      </c>
      <c r="D46" s="700">
        <f t="shared" ref="D46:Q46" ca="1" si="5">SUM(D39:D45)</f>
        <v>0</v>
      </c>
      <c r="E46" s="700">
        <f t="shared" ca="1" si="5"/>
        <v>27533.301525886629</v>
      </c>
      <c r="F46" s="700">
        <f t="shared" si="5"/>
        <v>1320.9688593037813</v>
      </c>
      <c r="G46" s="700">
        <f t="shared" ca="1" si="5"/>
        <v>19078.673491134319</v>
      </c>
      <c r="H46" s="700">
        <f t="shared" si="5"/>
        <v>0</v>
      </c>
      <c r="I46" s="700">
        <f t="shared" si="5"/>
        <v>0</v>
      </c>
      <c r="J46" s="700">
        <f t="shared" si="5"/>
        <v>0</v>
      </c>
      <c r="K46" s="700">
        <f t="shared" si="5"/>
        <v>138.17564518978958</v>
      </c>
      <c r="L46" s="700">
        <f t="shared" si="5"/>
        <v>0</v>
      </c>
      <c r="M46" s="700">
        <f t="shared" ca="1" si="5"/>
        <v>0</v>
      </c>
      <c r="N46" s="700">
        <f t="shared" si="5"/>
        <v>0</v>
      </c>
      <c r="O46" s="700">
        <f t="shared" ca="1" si="5"/>
        <v>0</v>
      </c>
      <c r="P46" s="700">
        <f t="shared" si="5"/>
        <v>0</v>
      </c>
      <c r="Q46" s="700">
        <f t="shared" si="5"/>
        <v>0</v>
      </c>
      <c r="R46" s="700">
        <f ca="1">SUM(R39:R45)</f>
        <v>64153.974117880396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2.2452191973575797</v>
      </c>
      <c r="D49" s="973">
        <f ca="1">transport!C58</f>
        <v>0</v>
      </c>
      <c r="E49" s="973">
        <f>transport!D58</f>
        <v>0</v>
      </c>
      <c r="F49" s="973">
        <f>transport!E58</f>
        <v>0</v>
      </c>
      <c r="G49" s="973">
        <f>transport!F58</f>
        <v>0</v>
      </c>
      <c r="H49" s="973">
        <f>transport!G58</f>
        <v>371.64643254391893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373.89165174127652</v>
      </c>
    </row>
    <row r="50" spans="1:18">
      <c r="A50" s="793" t="s">
        <v>301</v>
      </c>
      <c r="B50" s="803"/>
      <c r="C50" s="671">
        <f ca="1">transport!B18</f>
        <v>19.084739582403479</v>
      </c>
      <c r="D50" s="671">
        <f>transport!C18</f>
        <v>0</v>
      </c>
      <c r="E50" s="671">
        <f>transport!D18</f>
        <v>44.480022219214746</v>
      </c>
      <c r="F50" s="671">
        <f>transport!E18</f>
        <v>87.712496562612444</v>
      </c>
      <c r="G50" s="671">
        <f>transport!F18</f>
        <v>0</v>
      </c>
      <c r="H50" s="671">
        <f>transport!G18</f>
        <v>47493.17069084751</v>
      </c>
      <c r="I50" s="671">
        <f>transport!H18</f>
        <v>8822.7242538318314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56467.17220304357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21.329958779761057</v>
      </c>
      <c r="D52" s="700">
        <f t="shared" ref="D52:Q52" ca="1" si="6">SUM(D48:D51)</f>
        <v>0</v>
      </c>
      <c r="E52" s="700">
        <f t="shared" si="6"/>
        <v>44.480022219214746</v>
      </c>
      <c r="F52" s="700">
        <f t="shared" si="6"/>
        <v>87.712496562612444</v>
      </c>
      <c r="G52" s="700">
        <f t="shared" si="6"/>
        <v>0</v>
      </c>
      <c r="H52" s="700">
        <f t="shared" si="6"/>
        <v>47864.817123391425</v>
      </c>
      <c r="I52" s="700">
        <f t="shared" si="6"/>
        <v>8822.7242538318314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56841.06385478485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780.58534509968968</v>
      </c>
      <c r="D54" s="671">
        <f ca="1">+landbouw!C12</f>
        <v>0</v>
      </c>
      <c r="E54" s="671">
        <f>+landbouw!D12</f>
        <v>55.9564483155307</v>
      </c>
      <c r="F54" s="671">
        <f>+landbouw!E12</f>
        <v>34.371622237163628</v>
      </c>
      <c r="G54" s="671">
        <f>+landbouw!F12</f>
        <v>5729.9963958172239</v>
      </c>
      <c r="H54" s="671">
        <f>+landbouw!G12</f>
        <v>0</v>
      </c>
      <c r="I54" s="671">
        <f>+landbouw!H12</f>
        <v>0</v>
      </c>
      <c r="J54" s="671">
        <f>+landbouw!I12</f>
        <v>0</v>
      </c>
      <c r="K54" s="671">
        <f>+landbouw!J12</f>
        <v>264.20238404502248</v>
      </c>
      <c r="L54" s="671">
        <f>+landbouw!K12</f>
        <v>0</v>
      </c>
      <c r="M54" s="671">
        <f>+landbouw!L12</f>
        <v>0</v>
      </c>
      <c r="N54" s="671">
        <f>+landbouw!M12</f>
        <v>0</v>
      </c>
      <c r="O54" s="671">
        <f>+landbouw!N12</f>
        <v>0</v>
      </c>
      <c r="P54" s="671">
        <f>+landbouw!O12</f>
        <v>0</v>
      </c>
      <c r="Q54" s="672">
        <f>+landbouw!P12</f>
        <v>0</v>
      </c>
      <c r="R54" s="699">
        <f ca="1">SUM(C54:Q54)</f>
        <v>6865.1121955146309</v>
      </c>
    </row>
    <row r="55" spans="1:18" ht="15" thickBot="1">
      <c r="A55" s="793" t="s">
        <v>808</v>
      </c>
      <c r="B55" s="803"/>
      <c r="C55" s="671">
        <f ca="1">C25*'EF ele_warmte'!B12</f>
        <v>311.08028423831917</v>
      </c>
      <c r="D55" s="671"/>
      <c r="E55" s="671">
        <f>E25*EF_CO2_aardgas</f>
        <v>513.01531072138903</v>
      </c>
      <c r="F55" s="671"/>
      <c r="G55" s="671"/>
      <c r="H55" s="671"/>
      <c r="I55" s="671"/>
      <c r="J55" s="671"/>
      <c r="K55" s="671"/>
      <c r="L55" s="671"/>
      <c r="M55" s="671"/>
      <c r="N55" s="671"/>
      <c r="O55" s="671"/>
      <c r="P55" s="671"/>
      <c r="Q55" s="672"/>
      <c r="R55" s="699">
        <f ca="1">SUM(C55:Q55)</f>
        <v>824.09559495970825</v>
      </c>
    </row>
    <row r="56" spans="1:18" ht="15.75" thickBot="1">
      <c r="A56" s="791" t="s">
        <v>809</v>
      </c>
      <c r="B56" s="804"/>
      <c r="C56" s="700">
        <f ca="1">SUM(C54:C55)</f>
        <v>1091.6656293380088</v>
      </c>
      <c r="D56" s="700">
        <f t="shared" ref="D56:Q56" ca="1" si="7">SUM(D54:D55)</f>
        <v>0</v>
      </c>
      <c r="E56" s="700">
        <f t="shared" si="7"/>
        <v>568.97175903691971</v>
      </c>
      <c r="F56" s="700">
        <f t="shared" si="7"/>
        <v>34.371622237163628</v>
      </c>
      <c r="G56" s="700">
        <f t="shared" si="7"/>
        <v>5729.9963958172239</v>
      </c>
      <c r="H56" s="700">
        <f t="shared" si="7"/>
        <v>0</v>
      </c>
      <c r="I56" s="700">
        <f t="shared" si="7"/>
        <v>0</v>
      </c>
      <c r="J56" s="700">
        <f t="shared" si="7"/>
        <v>0</v>
      </c>
      <c r="K56" s="700">
        <f t="shared" si="7"/>
        <v>264.20238404502248</v>
      </c>
      <c r="L56" s="700">
        <f t="shared" si="7"/>
        <v>0</v>
      </c>
      <c r="M56" s="700">
        <f t="shared" si="7"/>
        <v>0</v>
      </c>
      <c r="N56" s="700">
        <f t="shared" si="7"/>
        <v>0</v>
      </c>
      <c r="O56" s="700">
        <f t="shared" si="7"/>
        <v>0</v>
      </c>
      <c r="P56" s="700">
        <f t="shared" si="7"/>
        <v>0</v>
      </c>
      <c r="Q56" s="701">
        <f t="shared" si="7"/>
        <v>0</v>
      </c>
      <c r="R56" s="702">
        <f ca="1">SUM(R54:R55)</f>
        <v>7689.2077904743392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17195.850184483657</v>
      </c>
      <c r="D61" s="708">
        <f t="shared" ref="D61:Q61" ca="1" si="8">D46+D52+D56</f>
        <v>0</v>
      </c>
      <c r="E61" s="708">
        <f t="shared" ca="1" si="8"/>
        <v>28146.753307142761</v>
      </c>
      <c r="F61" s="708">
        <f t="shared" si="8"/>
        <v>1443.0529781035573</v>
      </c>
      <c r="G61" s="708">
        <f t="shared" ca="1" si="8"/>
        <v>24808.669886951542</v>
      </c>
      <c r="H61" s="708">
        <f t="shared" si="8"/>
        <v>47864.817123391425</v>
      </c>
      <c r="I61" s="708">
        <f t="shared" si="8"/>
        <v>8822.7242538318314</v>
      </c>
      <c r="J61" s="708">
        <f t="shared" si="8"/>
        <v>0</v>
      </c>
      <c r="K61" s="708">
        <f t="shared" si="8"/>
        <v>402.37802923481206</v>
      </c>
      <c r="L61" s="708">
        <f t="shared" si="8"/>
        <v>0</v>
      </c>
      <c r="M61" s="708">
        <f t="shared" ca="1" si="8"/>
        <v>0</v>
      </c>
      <c r="N61" s="708">
        <f t="shared" si="8"/>
        <v>0</v>
      </c>
      <c r="O61" s="708">
        <f t="shared" ca="1" si="8"/>
        <v>0</v>
      </c>
      <c r="P61" s="708">
        <f t="shared" si="8"/>
        <v>0</v>
      </c>
      <c r="Q61" s="708">
        <f t="shared" si="8"/>
        <v>0</v>
      </c>
      <c r="R61" s="708">
        <f ca="1">R46+R52+R56</f>
        <v>128684.24576313958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0.15152731869792321</v>
      </c>
      <c r="D63" s="749">
        <f t="shared" ca="1" si="9"/>
        <v>0</v>
      </c>
      <c r="E63" s="984">
        <f t="shared" ca="1" si="9"/>
        <v>0.20200000000000001</v>
      </c>
      <c r="F63" s="749">
        <f t="shared" si="9"/>
        <v>0.22700000000000004</v>
      </c>
      <c r="G63" s="749">
        <f t="shared" ca="1" si="9"/>
        <v>0.26700000000000002</v>
      </c>
      <c r="H63" s="749">
        <f t="shared" si="9"/>
        <v>0.26700000000000002</v>
      </c>
      <c r="I63" s="749">
        <f t="shared" si="9"/>
        <v>0.24899999999999997</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27731.414816599579</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7899.1564366693347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35674.221253268915</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43097.385260757284</v>
      </c>
      <c r="C4" s="445">
        <f>huishoudens!C8</f>
        <v>0</v>
      </c>
      <c r="D4" s="445">
        <f>huishoudens!D8</f>
        <v>90718.074568698605</v>
      </c>
      <c r="E4" s="445">
        <f>huishoudens!E8</f>
        <v>2251.5228884010139</v>
      </c>
      <c r="F4" s="445">
        <f>huishoudens!F8</f>
        <v>57043.497497892218</v>
      </c>
      <c r="G4" s="445">
        <f>huishoudens!G8</f>
        <v>0</v>
      </c>
      <c r="H4" s="445">
        <f>huishoudens!H8</f>
        <v>0</v>
      </c>
      <c r="I4" s="445">
        <f>huishoudens!I8</f>
        <v>0</v>
      </c>
      <c r="J4" s="445">
        <f>huishoudens!J8</f>
        <v>274.48691018127386</v>
      </c>
      <c r="K4" s="445">
        <f>huishoudens!K8</f>
        <v>0</v>
      </c>
      <c r="L4" s="445">
        <f>huishoudens!L8</f>
        <v>0</v>
      </c>
      <c r="M4" s="445">
        <f>huishoudens!M8</f>
        <v>0</v>
      </c>
      <c r="N4" s="445">
        <f>huishoudens!N8</f>
        <v>14527.75388662664</v>
      </c>
      <c r="O4" s="445">
        <f>huishoudens!O8</f>
        <v>544.04000000000008</v>
      </c>
      <c r="P4" s="446">
        <f>huishoudens!P8</f>
        <v>1849.4666666666667</v>
      </c>
      <c r="Q4" s="447">
        <f>SUM(B4:P4)</f>
        <v>210306.22767922367</v>
      </c>
    </row>
    <row r="5" spans="1:17">
      <c r="A5" s="444" t="s">
        <v>155</v>
      </c>
      <c r="B5" s="445">
        <f ca="1">tertiair!B16</f>
        <v>22159.119804345526</v>
      </c>
      <c r="C5" s="445">
        <f ca="1">tertiair!C16</f>
        <v>0</v>
      </c>
      <c r="D5" s="445">
        <f ca="1">tertiair!D16</f>
        <v>28762.140154200861</v>
      </c>
      <c r="E5" s="445">
        <f>tertiair!E16</f>
        <v>385.28324430460606</v>
      </c>
      <c r="F5" s="445">
        <f ca="1">tertiair!F16</f>
        <v>3963.9704962731757</v>
      </c>
      <c r="G5" s="445">
        <f>tertiair!G16</f>
        <v>0</v>
      </c>
      <c r="H5" s="445">
        <f>tertiair!H16</f>
        <v>0</v>
      </c>
      <c r="I5" s="445">
        <f>tertiair!I16</f>
        <v>0</v>
      </c>
      <c r="J5" s="445">
        <f>tertiair!J16</f>
        <v>6.2127696323075243E-2</v>
      </c>
      <c r="K5" s="445">
        <f>tertiair!K16</f>
        <v>0</v>
      </c>
      <c r="L5" s="445">
        <f ca="1">tertiair!L16</f>
        <v>0</v>
      </c>
      <c r="M5" s="445">
        <f>tertiair!M16</f>
        <v>0</v>
      </c>
      <c r="N5" s="445">
        <f ca="1">tertiair!N16</f>
        <v>2482.258523896578</v>
      </c>
      <c r="O5" s="445">
        <f>tertiair!O16</f>
        <v>14.070000000000002</v>
      </c>
      <c r="P5" s="446">
        <f>tertiair!P16</f>
        <v>95.333333333333343</v>
      </c>
      <c r="Q5" s="444">
        <f t="shared" ref="Q5:Q14" ca="1" si="0">SUM(B5:P5)</f>
        <v>57862.237684050408</v>
      </c>
    </row>
    <row r="6" spans="1:17">
      <c r="A6" s="444" t="s">
        <v>193</v>
      </c>
      <c r="B6" s="445">
        <f>'openbare verlichting'!B8</f>
        <v>1542.9860000000001</v>
      </c>
      <c r="C6" s="445"/>
      <c r="D6" s="445"/>
      <c r="E6" s="445"/>
      <c r="F6" s="445"/>
      <c r="G6" s="445"/>
      <c r="H6" s="445"/>
      <c r="I6" s="445"/>
      <c r="J6" s="445"/>
      <c r="K6" s="445"/>
      <c r="L6" s="445"/>
      <c r="M6" s="445"/>
      <c r="N6" s="445"/>
      <c r="O6" s="445"/>
      <c r="P6" s="446"/>
      <c r="Q6" s="444">
        <f t="shared" si="0"/>
        <v>1542.9860000000001</v>
      </c>
    </row>
    <row r="7" spans="1:17">
      <c r="A7" s="444" t="s">
        <v>111</v>
      </c>
      <c r="B7" s="445">
        <f>landbouw!B8</f>
        <v>5151.449598707828</v>
      </c>
      <c r="C7" s="445">
        <f>landbouw!C8</f>
        <v>62.357142857142847</v>
      </c>
      <c r="D7" s="445">
        <f>landbouw!D8</f>
        <v>277.01212037391434</v>
      </c>
      <c r="E7" s="445">
        <f>landbouw!E8</f>
        <v>151.41683804917898</v>
      </c>
      <c r="F7" s="445">
        <f>landbouw!F8</f>
        <v>21460.660658491473</v>
      </c>
      <c r="G7" s="445">
        <f>landbouw!G8</f>
        <v>0</v>
      </c>
      <c r="H7" s="445">
        <f>landbouw!H8</f>
        <v>0</v>
      </c>
      <c r="I7" s="445">
        <f>landbouw!I8</f>
        <v>0</v>
      </c>
      <c r="J7" s="445">
        <f>landbouw!J8</f>
        <v>746.33441820627831</v>
      </c>
      <c r="K7" s="445">
        <f>landbouw!K8</f>
        <v>0</v>
      </c>
      <c r="L7" s="445">
        <f>landbouw!L8</f>
        <v>0</v>
      </c>
      <c r="M7" s="445">
        <f>landbouw!M8</f>
        <v>0</v>
      </c>
      <c r="N7" s="445">
        <f>landbouw!N8</f>
        <v>0</v>
      </c>
      <c r="O7" s="445">
        <f>landbouw!O8</f>
        <v>0</v>
      </c>
      <c r="P7" s="446">
        <f>landbouw!P8</f>
        <v>0</v>
      </c>
      <c r="Q7" s="444">
        <f t="shared" si="0"/>
        <v>27849.230776685818</v>
      </c>
    </row>
    <row r="8" spans="1:17">
      <c r="A8" s="444" t="s">
        <v>627</v>
      </c>
      <c r="B8" s="445">
        <f>industrie!B18</f>
        <v>39338.826002513299</v>
      </c>
      <c r="C8" s="445">
        <f>industrie!C18</f>
        <v>0</v>
      </c>
      <c r="D8" s="445">
        <f>industrie!D18</f>
        <v>16823.258177529387</v>
      </c>
      <c r="E8" s="445">
        <f>industrie!E18</f>
        <v>3182.4399435224905</v>
      </c>
      <c r="F8" s="445">
        <f>industrie!F18</f>
        <v>10448.237965139171</v>
      </c>
      <c r="G8" s="445">
        <f>industrie!G18</f>
        <v>0</v>
      </c>
      <c r="H8" s="445">
        <f>industrie!H18</f>
        <v>0</v>
      </c>
      <c r="I8" s="445">
        <f>industrie!I18</f>
        <v>0</v>
      </c>
      <c r="J8" s="445">
        <f>industrie!J18</f>
        <v>115.77764344949226</v>
      </c>
      <c r="K8" s="445">
        <f>industrie!K18</f>
        <v>0</v>
      </c>
      <c r="L8" s="445">
        <f>industrie!L18</f>
        <v>0</v>
      </c>
      <c r="M8" s="445">
        <f>industrie!M18</f>
        <v>0</v>
      </c>
      <c r="N8" s="445">
        <f>industrie!N18</f>
        <v>2793.5112573241759</v>
      </c>
      <c r="O8" s="445">
        <f>industrie!O18</f>
        <v>0</v>
      </c>
      <c r="P8" s="446">
        <f>industrie!P18</f>
        <v>0</v>
      </c>
      <c r="Q8" s="444">
        <f t="shared" si="0"/>
        <v>72702.050989478012</v>
      </c>
    </row>
    <row r="9" spans="1:17" s="450" customFormat="1">
      <c r="A9" s="448" t="s">
        <v>553</v>
      </c>
      <c r="B9" s="449">
        <f>transport!B14</f>
        <v>125.9491670967253</v>
      </c>
      <c r="C9" s="449">
        <f>transport!C14</f>
        <v>0</v>
      </c>
      <c r="D9" s="449">
        <f>transport!D14</f>
        <v>220.19812979809279</v>
      </c>
      <c r="E9" s="449">
        <f>transport!E14</f>
        <v>386.39866327142045</v>
      </c>
      <c r="F9" s="449">
        <f>transport!F14</f>
        <v>0</v>
      </c>
      <c r="G9" s="449">
        <f>transport!G14</f>
        <v>177877.04378594572</v>
      </c>
      <c r="H9" s="449">
        <f>transport!H14</f>
        <v>35432.627525429045</v>
      </c>
      <c r="I9" s="449">
        <f>transport!I14</f>
        <v>0</v>
      </c>
      <c r="J9" s="449">
        <f>transport!J14</f>
        <v>0</v>
      </c>
      <c r="K9" s="449">
        <f>transport!K14</f>
        <v>0</v>
      </c>
      <c r="L9" s="449">
        <f>transport!L14</f>
        <v>0</v>
      </c>
      <c r="M9" s="449">
        <f>transport!M14</f>
        <v>11435.686501773303</v>
      </c>
      <c r="N9" s="449">
        <f>transport!N14</f>
        <v>0</v>
      </c>
      <c r="O9" s="449">
        <f>transport!O14</f>
        <v>0</v>
      </c>
      <c r="P9" s="449">
        <f>transport!P14</f>
        <v>0</v>
      </c>
      <c r="Q9" s="448">
        <f>SUM(B9:P9)</f>
        <v>225477.90377331429</v>
      </c>
    </row>
    <row r="10" spans="1:17">
      <c r="A10" s="444" t="s">
        <v>543</v>
      </c>
      <c r="B10" s="445">
        <f>transport!B54</f>
        <v>14.817256826364947</v>
      </c>
      <c r="C10" s="445">
        <f>transport!C54</f>
        <v>0</v>
      </c>
      <c r="D10" s="445">
        <f>transport!D54</f>
        <v>0</v>
      </c>
      <c r="E10" s="445">
        <f>transport!E54</f>
        <v>0</v>
      </c>
      <c r="F10" s="445">
        <f>transport!F54</f>
        <v>0</v>
      </c>
      <c r="G10" s="445">
        <f>transport!G54</f>
        <v>1391.9342042843405</v>
      </c>
      <c r="H10" s="445">
        <f>transport!H54</f>
        <v>0</v>
      </c>
      <c r="I10" s="445">
        <f>transport!I54</f>
        <v>0</v>
      </c>
      <c r="J10" s="445">
        <f>transport!J54</f>
        <v>0</v>
      </c>
      <c r="K10" s="445">
        <f>transport!K54</f>
        <v>0</v>
      </c>
      <c r="L10" s="445">
        <f>transport!L54</f>
        <v>0</v>
      </c>
      <c r="M10" s="445">
        <f>transport!M54</f>
        <v>80.157311519979714</v>
      </c>
      <c r="N10" s="445">
        <f>transport!N54</f>
        <v>0</v>
      </c>
      <c r="O10" s="445">
        <f>transport!O54</f>
        <v>0</v>
      </c>
      <c r="P10" s="446">
        <f>transport!P54</f>
        <v>0</v>
      </c>
      <c r="Q10" s="444">
        <f t="shared" si="0"/>
        <v>1486.908772630685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2052.96501588913</v>
      </c>
      <c r="C14" s="452"/>
      <c r="D14" s="452">
        <f>'SEAP template'!E25</f>
        <v>2539.6797560464802</v>
      </c>
      <c r="E14" s="452"/>
      <c r="F14" s="452"/>
      <c r="G14" s="452"/>
      <c r="H14" s="452"/>
      <c r="I14" s="452"/>
      <c r="J14" s="452"/>
      <c r="K14" s="452"/>
      <c r="L14" s="452"/>
      <c r="M14" s="452"/>
      <c r="N14" s="452"/>
      <c r="O14" s="452"/>
      <c r="P14" s="453"/>
      <c r="Q14" s="444">
        <f t="shared" si="0"/>
        <v>4592.6447719356102</v>
      </c>
    </row>
    <row r="15" spans="1:17" s="454" customFormat="1">
      <c r="A15" s="999" t="s">
        <v>547</v>
      </c>
      <c r="B15" s="947">
        <f ca="1">SUM(B4:B14)</f>
        <v>113483.49810613616</v>
      </c>
      <c r="C15" s="947">
        <f t="shared" ref="C15:Q15" ca="1" si="1">SUM(C4:C14)</f>
        <v>62.357142857142847</v>
      </c>
      <c r="D15" s="947">
        <f t="shared" ca="1" si="1"/>
        <v>139340.36290664732</v>
      </c>
      <c r="E15" s="947">
        <f t="shared" si="1"/>
        <v>6357.0615775487095</v>
      </c>
      <c r="F15" s="947">
        <f t="shared" ca="1" si="1"/>
        <v>92916.36661779604</v>
      </c>
      <c r="G15" s="947">
        <f t="shared" si="1"/>
        <v>179268.97799023005</v>
      </c>
      <c r="H15" s="947">
        <f t="shared" si="1"/>
        <v>35432.627525429045</v>
      </c>
      <c r="I15" s="947">
        <f t="shared" si="1"/>
        <v>0</v>
      </c>
      <c r="J15" s="947">
        <f t="shared" si="1"/>
        <v>1136.6610995333674</v>
      </c>
      <c r="K15" s="947">
        <f t="shared" si="1"/>
        <v>0</v>
      </c>
      <c r="L15" s="947">
        <f t="shared" ca="1" si="1"/>
        <v>0</v>
      </c>
      <c r="M15" s="947">
        <f t="shared" si="1"/>
        <v>11515.843813293282</v>
      </c>
      <c r="N15" s="947">
        <f t="shared" ca="1" si="1"/>
        <v>19803.523667847392</v>
      </c>
      <c r="O15" s="947">
        <f t="shared" si="1"/>
        <v>558.11000000000013</v>
      </c>
      <c r="P15" s="947">
        <f t="shared" si="1"/>
        <v>1944.8</v>
      </c>
      <c r="Q15" s="947">
        <f t="shared" ca="1" si="1"/>
        <v>601820.1904473186</v>
      </c>
    </row>
    <row r="17" spans="1:17">
      <c r="A17" s="455" t="s">
        <v>548</v>
      </c>
      <c r="B17" s="754">
        <f ca="1">huishoudens!B10</f>
        <v>0.15152731869792321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6530.4312314539475</v>
      </c>
      <c r="C22" s="445">
        <f t="shared" ref="C22:C32" ca="1" si="3">C4*$C$17</f>
        <v>0</v>
      </c>
      <c r="D22" s="445">
        <f t="shared" ref="D22:D32" si="4">D4*$D$17</f>
        <v>18325.051062877119</v>
      </c>
      <c r="E22" s="445">
        <f t="shared" ref="E22:E32" si="5">E4*$E$17</f>
        <v>511.09569566703016</v>
      </c>
      <c r="F22" s="445">
        <f t="shared" ref="F22:F32" si="6">F4*$F$17</f>
        <v>15230.613831937224</v>
      </c>
      <c r="G22" s="445">
        <f t="shared" ref="G22:G32" si="7">G4*$G$17</f>
        <v>0</v>
      </c>
      <c r="H22" s="445">
        <f t="shared" ref="H22:H32" si="8">H4*$H$17</f>
        <v>0</v>
      </c>
      <c r="I22" s="445">
        <f t="shared" ref="I22:I32" si="9">I4*$I$17</f>
        <v>0</v>
      </c>
      <c r="J22" s="445">
        <f t="shared" ref="J22:J32" si="10">J4*$J$17</f>
        <v>97.168366204170937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40694.360188139486</v>
      </c>
    </row>
    <row r="23" spans="1:17">
      <c r="A23" s="444" t="s">
        <v>155</v>
      </c>
      <c r="B23" s="445">
        <f t="shared" ca="1" si="2"/>
        <v>3357.7120086585264</v>
      </c>
      <c r="C23" s="445">
        <f t="shared" ca="1" si="3"/>
        <v>0</v>
      </c>
      <c r="D23" s="445">
        <f t="shared" ca="1" si="4"/>
        <v>5809.9523111485742</v>
      </c>
      <c r="E23" s="445">
        <f t="shared" si="5"/>
        <v>87.459296457145584</v>
      </c>
      <c r="F23" s="445">
        <f t="shared" ca="1" si="6"/>
        <v>1058.3801225049381</v>
      </c>
      <c r="G23" s="445">
        <f t="shared" si="7"/>
        <v>0</v>
      </c>
      <c r="H23" s="445">
        <f t="shared" si="8"/>
        <v>0</v>
      </c>
      <c r="I23" s="445">
        <f t="shared" si="9"/>
        <v>0</v>
      </c>
      <c r="J23" s="445">
        <f t="shared" si="10"/>
        <v>2.1993204498368633E-2</v>
      </c>
      <c r="K23" s="445">
        <f t="shared" si="11"/>
        <v>0</v>
      </c>
      <c r="L23" s="445">
        <f t="shared" ca="1" si="12"/>
        <v>0</v>
      </c>
      <c r="M23" s="445">
        <f t="shared" si="13"/>
        <v>0</v>
      </c>
      <c r="N23" s="445">
        <f t="shared" ca="1" si="14"/>
        <v>0</v>
      </c>
      <c r="O23" s="445">
        <f t="shared" si="15"/>
        <v>0</v>
      </c>
      <c r="P23" s="446">
        <f t="shared" si="16"/>
        <v>0</v>
      </c>
      <c r="Q23" s="444">
        <f t="shared" ref="Q23:Q32" ca="1" si="17">SUM(B23:P23)</f>
        <v>10313.525731973681</v>
      </c>
    </row>
    <row r="24" spans="1:17">
      <c r="A24" s="444" t="s">
        <v>193</v>
      </c>
      <c r="B24" s="445">
        <f t="shared" ca="1" si="2"/>
        <v>233.80453136843377</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233.80453136843377</v>
      </c>
    </row>
    <row r="25" spans="1:17">
      <c r="A25" s="444" t="s">
        <v>111</v>
      </c>
      <c r="B25" s="445">
        <f t="shared" ca="1" si="2"/>
        <v>780.58534509968968</v>
      </c>
      <c r="C25" s="445">
        <f t="shared" ca="1" si="3"/>
        <v>0</v>
      </c>
      <c r="D25" s="445">
        <f t="shared" si="4"/>
        <v>55.9564483155307</v>
      </c>
      <c r="E25" s="445">
        <f t="shared" si="5"/>
        <v>34.371622237163628</v>
      </c>
      <c r="F25" s="445">
        <f t="shared" si="6"/>
        <v>5729.9963958172239</v>
      </c>
      <c r="G25" s="445">
        <f t="shared" si="7"/>
        <v>0</v>
      </c>
      <c r="H25" s="445">
        <f t="shared" si="8"/>
        <v>0</v>
      </c>
      <c r="I25" s="445">
        <f t="shared" si="9"/>
        <v>0</v>
      </c>
      <c r="J25" s="445">
        <f t="shared" si="10"/>
        <v>264.20238404502248</v>
      </c>
      <c r="K25" s="445">
        <f t="shared" si="11"/>
        <v>0</v>
      </c>
      <c r="L25" s="445">
        <f t="shared" si="12"/>
        <v>0</v>
      </c>
      <c r="M25" s="445">
        <f t="shared" si="13"/>
        <v>0</v>
      </c>
      <c r="N25" s="445">
        <f t="shared" si="14"/>
        <v>0</v>
      </c>
      <c r="O25" s="445">
        <f t="shared" si="15"/>
        <v>0</v>
      </c>
      <c r="P25" s="446">
        <f t="shared" si="16"/>
        <v>0</v>
      </c>
      <c r="Q25" s="444">
        <f t="shared" ca="1" si="17"/>
        <v>6865.1121955146309</v>
      </c>
    </row>
    <row r="26" spans="1:17">
      <c r="A26" s="444" t="s">
        <v>627</v>
      </c>
      <c r="B26" s="445">
        <f t="shared" ca="1" si="2"/>
        <v>5960.9068248849817</v>
      </c>
      <c r="C26" s="445">
        <f t="shared" ca="1" si="3"/>
        <v>0</v>
      </c>
      <c r="D26" s="445">
        <f t="shared" si="4"/>
        <v>3398.2981518609363</v>
      </c>
      <c r="E26" s="445">
        <f t="shared" si="5"/>
        <v>722.4138671796054</v>
      </c>
      <c r="F26" s="445">
        <f t="shared" si="6"/>
        <v>2789.6795366921588</v>
      </c>
      <c r="G26" s="445">
        <f t="shared" si="7"/>
        <v>0</v>
      </c>
      <c r="H26" s="445">
        <f t="shared" si="8"/>
        <v>0</v>
      </c>
      <c r="I26" s="445">
        <f t="shared" si="9"/>
        <v>0</v>
      </c>
      <c r="J26" s="445">
        <f t="shared" si="10"/>
        <v>40.985285781120261</v>
      </c>
      <c r="K26" s="445">
        <f t="shared" si="11"/>
        <v>0</v>
      </c>
      <c r="L26" s="445">
        <f t="shared" si="12"/>
        <v>0</v>
      </c>
      <c r="M26" s="445">
        <f t="shared" si="13"/>
        <v>0</v>
      </c>
      <c r="N26" s="445">
        <f t="shared" si="14"/>
        <v>0</v>
      </c>
      <c r="O26" s="445">
        <f t="shared" si="15"/>
        <v>0</v>
      </c>
      <c r="P26" s="446">
        <f t="shared" si="16"/>
        <v>0</v>
      </c>
      <c r="Q26" s="444">
        <f t="shared" ca="1" si="17"/>
        <v>12912.283666398802</v>
      </c>
    </row>
    <row r="27" spans="1:17" s="450" customFormat="1">
      <c r="A27" s="448" t="s">
        <v>553</v>
      </c>
      <c r="B27" s="748">
        <f t="shared" ca="1" si="2"/>
        <v>19.084739582403479</v>
      </c>
      <c r="C27" s="449">
        <f t="shared" ca="1" si="3"/>
        <v>0</v>
      </c>
      <c r="D27" s="449">
        <f t="shared" si="4"/>
        <v>44.480022219214746</v>
      </c>
      <c r="E27" s="449">
        <f t="shared" si="5"/>
        <v>87.712496562612444</v>
      </c>
      <c r="F27" s="449">
        <f t="shared" si="6"/>
        <v>0</v>
      </c>
      <c r="G27" s="449">
        <f t="shared" si="7"/>
        <v>47493.17069084751</v>
      </c>
      <c r="H27" s="449">
        <f t="shared" si="8"/>
        <v>8822.7242538318314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56467.17220304357</v>
      </c>
    </row>
    <row r="28" spans="1:17">
      <c r="A28" s="444" t="s">
        <v>543</v>
      </c>
      <c r="B28" s="445">
        <f t="shared" ca="1" si="2"/>
        <v>2.2452191973575797</v>
      </c>
      <c r="C28" s="445">
        <f t="shared" ca="1" si="3"/>
        <v>0</v>
      </c>
      <c r="D28" s="445">
        <f t="shared" si="4"/>
        <v>0</v>
      </c>
      <c r="E28" s="445">
        <f t="shared" si="5"/>
        <v>0</v>
      </c>
      <c r="F28" s="445">
        <f t="shared" si="6"/>
        <v>0</v>
      </c>
      <c r="G28" s="445">
        <f t="shared" si="7"/>
        <v>371.64643254391893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373.89165174127652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311.08028423831917</v>
      </c>
      <c r="C32" s="445">
        <f t="shared" ca="1" si="3"/>
        <v>0</v>
      </c>
      <c r="D32" s="445">
        <f t="shared" si="4"/>
        <v>513.01531072138903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824.09559495970825</v>
      </c>
    </row>
    <row r="33" spans="1:17" s="454" customFormat="1">
      <c r="A33" s="999" t="s">
        <v>547</v>
      </c>
      <c r="B33" s="947">
        <f ca="1">SUM(B22:B32)</f>
        <v>17195.850184483657</v>
      </c>
      <c r="C33" s="947">
        <f t="shared" ref="C33:Q33" ca="1" si="18">SUM(C22:C32)</f>
        <v>0</v>
      </c>
      <c r="D33" s="947">
        <f t="shared" ca="1" si="18"/>
        <v>28146.753307142761</v>
      </c>
      <c r="E33" s="947">
        <f t="shared" si="18"/>
        <v>1443.0529781035573</v>
      </c>
      <c r="F33" s="947">
        <f t="shared" ca="1" si="18"/>
        <v>24808.669886951542</v>
      </c>
      <c r="G33" s="947">
        <f t="shared" si="18"/>
        <v>47864.817123391425</v>
      </c>
      <c r="H33" s="947">
        <f t="shared" si="18"/>
        <v>8822.7242538318314</v>
      </c>
      <c r="I33" s="947">
        <f t="shared" si="18"/>
        <v>0</v>
      </c>
      <c r="J33" s="947">
        <f t="shared" si="18"/>
        <v>402.378029234812</v>
      </c>
      <c r="K33" s="947">
        <f t="shared" si="18"/>
        <v>0</v>
      </c>
      <c r="L33" s="947">
        <f t="shared" ca="1" si="18"/>
        <v>0</v>
      </c>
      <c r="M33" s="947">
        <f t="shared" si="18"/>
        <v>0</v>
      </c>
      <c r="N33" s="947">
        <f t="shared" ca="1" si="18"/>
        <v>0</v>
      </c>
      <c r="O33" s="947">
        <f t="shared" si="18"/>
        <v>0</v>
      </c>
      <c r="P33" s="947">
        <f t="shared" si="18"/>
        <v>0</v>
      </c>
      <c r="Q33" s="947">
        <f t="shared" ca="1" si="18"/>
        <v>128684.24576313958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27731.414816599579</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7899.1564366693347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35674.221253268915</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0.15152731869792321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0.15152731869792321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0.15152731869792321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0.15152731869792321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9930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6477.95999999999</v>
      </c>
      <c r="C14" s="324"/>
      <c r="D14" s="324"/>
      <c r="E14" s="324"/>
      <c r="F14" s="324"/>
    </row>
    <row r="15" spans="1:6">
      <c r="A15" s="1291" t="s">
        <v>183</v>
      </c>
      <c r="B15" s="1292">
        <v>381</v>
      </c>
      <c r="C15" s="324"/>
      <c r="D15" s="324"/>
      <c r="E15" s="324"/>
      <c r="F15" s="324"/>
    </row>
    <row r="16" spans="1:6">
      <c r="A16" s="1291" t="s">
        <v>6</v>
      </c>
      <c r="B16" s="1292">
        <v>4250</v>
      </c>
      <c r="C16" s="324"/>
      <c r="D16" s="324"/>
      <c r="E16" s="324"/>
      <c r="F16" s="324"/>
    </row>
    <row r="17" spans="1:6">
      <c r="A17" s="1291" t="s">
        <v>7</v>
      </c>
      <c r="B17" s="1292">
        <v>2199</v>
      </c>
      <c r="C17" s="324"/>
      <c r="D17" s="324"/>
      <c r="E17" s="324"/>
      <c r="F17" s="324"/>
    </row>
    <row r="18" spans="1:6">
      <c r="A18" s="1291" t="s">
        <v>8</v>
      </c>
      <c r="B18" s="1292">
        <v>4265</v>
      </c>
      <c r="C18" s="324"/>
      <c r="D18" s="324"/>
      <c r="E18" s="324"/>
      <c r="F18" s="324"/>
    </row>
    <row r="19" spans="1:6">
      <c r="A19" s="1291" t="s">
        <v>9</v>
      </c>
      <c r="B19" s="1292">
        <v>3896</v>
      </c>
      <c r="C19" s="324"/>
      <c r="D19" s="324"/>
      <c r="E19" s="324"/>
      <c r="F19" s="324"/>
    </row>
    <row r="20" spans="1:6">
      <c r="A20" s="1291" t="s">
        <v>10</v>
      </c>
      <c r="B20" s="1292">
        <v>2132</v>
      </c>
      <c r="C20" s="324"/>
      <c r="D20" s="324"/>
      <c r="E20" s="324"/>
      <c r="F20" s="324"/>
    </row>
    <row r="21" spans="1:6">
      <c r="A21" s="1291" t="s">
        <v>11</v>
      </c>
      <c r="B21" s="1292">
        <v>14666</v>
      </c>
      <c r="C21" s="324"/>
      <c r="D21" s="324"/>
      <c r="E21" s="324"/>
      <c r="F21" s="324"/>
    </row>
    <row r="22" spans="1:6">
      <c r="A22" s="1291" t="s">
        <v>12</v>
      </c>
      <c r="B22" s="1292">
        <v>28495</v>
      </c>
      <c r="C22" s="324"/>
      <c r="D22" s="324"/>
      <c r="E22" s="324"/>
      <c r="F22" s="324"/>
    </row>
    <row r="23" spans="1:6">
      <c r="A23" s="1291" t="s">
        <v>13</v>
      </c>
      <c r="B23" s="1292">
        <v>893</v>
      </c>
      <c r="C23" s="324"/>
      <c r="D23" s="324"/>
      <c r="E23" s="324"/>
      <c r="F23" s="324"/>
    </row>
    <row r="24" spans="1:6">
      <c r="A24" s="1291" t="s">
        <v>14</v>
      </c>
      <c r="B24" s="1292">
        <v>28</v>
      </c>
      <c r="C24" s="324"/>
      <c r="D24" s="324"/>
      <c r="E24" s="324"/>
      <c r="F24" s="324"/>
    </row>
    <row r="25" spans="1:6">
      <c r="A25" s="1291" t="s">
        <v>15</v>
      </c>
      <c r="B25" s="1292">
        <v>4075</v>
      </c>
      <c r="C25" s="324"/>
      <c r="D25" s="324"/>
      <c r="E25" s="324"/>
      <c r="F25" s="324"/>
    </row>
    <row r="26" spans="1:6">
      <c r="A26" s="1291" t="s">
        <v>16</v>
      </c>
      <c r="B26" s="1292">
        <v>604</v>
      </c>
      <c r="C26" s="324"/>
      <c r="D26" s="324"/>
      <c r="E26" s="324"/>
      <c r="F26" s="324"/>
    </row>
    <row r="27" spans="1:6">
      <c r="A27" s="1291" t="s">
        <v>17</v>
      </c>
      <c r="B27" s="1292">
        <v>608</v>
      </c>
      <c r="C27" s="324"/>
      <c r="D27" s="324"/>
      <c r="E27" s="324"/>
      <c r="F27" s="324"/>
    </row>
    <row r="28" spans="1:6" s="43" customFormat="1">
      <c r="A28" s="1293" t="s">
        <v>18</v>
      </c>
      <c r="B28" s="1294">
        <v>63644</v>
      </c>
      <c r="C28" s="330"/>
      <c r="D28" s="330"/>
      <c r="E28" s="330"/>
      <c r="F28" s="330"/>
    </row>
    <row r="29" spans="1:6">
      <c r="A29" s="1293" t="s">
        <v>722</v>
      </c>
      <c r="B29" s="1294">
        <v>496</v>
      </c>
      <c r="C29" s="330"/>
      <c r="D29" s="330"/>
      <c r="E29" s="330"/>
      <c r="F29" s="330"/>
    </row>
    <row r="30" spans="1:6">
      <c r="A30" s="1286" t="s">
        <v>723</v>
      </c>
      <c r="B30" s="1295">
        <v>218</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4455665.6821765797</v>
      </c>
      <c r="E38" s="1292">
        <v>11</v>
      </c>
      <c r="F38" s="1292">
        <v>501044.26421724499</v>
      </c>
    </row>
    <row r="39" spans="1:6">
      <c r="A39" s="1291" t="s">
        <v>29</v>
      </c>
      <c r="B39" s="1291" t="s">
        <v>30</v>
      </c>
      <c r="C39" s="1292">
        <v>6276</v>
      </c>
      <c r="D39" s="1292">
        <v>100574362.049555</v>
      </c>
      <c r="E39" s="1292">
        <v>9308</v>
      </c>
      <c r="F39" s="1292">
        <v>38470859.877285101</v>
      </c>
    </row>
    <row r="40" spans="1:6">
      <c r="A40" s="1291" t="s">
        <v>29</v>
      </c>
      <c r="B40" s="1291" t="s">
        <v>28</v>
      </c>
      <c r="C40" s="1292">
        <v>0</v>
      </c>
      <c r="D40" s="1292">
        <v>0</v>
      </c>
      <c r="E40" s="1292">
        <v>0</v>
      </c>
      <c r="F40" s="1292">
        <v>0</v>
      </c>
    </row>
    <row r="41" spans="1:6">
      <c r="A41" s="1291" t="s">
        <v>31</v>
      </c>
      <c r="B41" s="1291" t="s">
        <v>32</v>
      </c>
      <c r="C41" s="1292">
        <v>141</v>
      </c>
      <c r="D41" s="1292">
        <v>4915873.27751718</v>
      </c>
      <c r="E41" s="1292">
        <v>321</v>
      </c>
      <c r="F41" s="1292">
        <v>4737723.9603698598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48770.184493606903</v>
      </c>
      <c r="E44" s="1292">
        <v>40</v>
      </c>
      <c r="F44" s="1292">
        <v>888147.27150131401</v>
      </c>
    </row>
    <row r="45" spans="1:6">
      <c r="A45" s="1291" t="s">
        <v>31</v>
      </c>
      <c r="B45" s="1291" t="s">
        <v>36</v>
      </c>
      <c r="C45" s="1292">
        <v>0</v>
      </c>
      <c r="D45" s="1292">
        <v>0</v>
      </c>
      <c r="E45" s="1292">
        <v>3</v>
      </c>
      <c r="F45" s="1292">
        <v>297120.79281375703</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62</v>
      </c>
      <c r="D48" s="1292">
        <v>12048281.0700671</v>
      </c>
      <c r="E48" s="1292">
        <v>89</v>
      </c>
      <c r="F48" s="1292">
        <v>32203909.728615601</v>
      </c>
    </row>
    <row r="49" spans="1:6">
      <c r="A49" s="1291" t="s">
        <v>31</v>
      </c>
      <c r="B49" s="1291" t="s">
        <v>39</v>
      </c>
      <c r="C49" s="1292">
        <v>0</v>
      </c>
      <c r="D49" s="1292">
        <v>0</v>
      </c>
      <c r="E49" s="1292">
        <v>0</v>
      </c>
      <c r="F49" s="1292">
        <v>0</v>
      </c>
    </row>
    <row r="50" spans="1:6">
      <c r="A50" s="1291" t="s">
        <v>31</v>
      </c>
      <c r="B50" s="1291" t="s">
        <v>40</v>
      </c>
      <c r="C50" s="1292">
        <v>15</v>
      </c>
      <c r="D50" s="1292">
        <v>1638137.7489968201</v>
      </c>
      <c r="E50" s="1292">
        <v>29</v>
      </c>
      <c r="F50" s="1292">
        <v>1211924.24921277</v>
      </c>
    </row>
    <row r="51" spans="1:6">
      <c r="A51" s="1291" t="s">
        <v>41</v>
      </c>
      <c r="B51" s="1291" t="s">
        <v>42</v>
      </c>
      <c r="C51" s="1292">
        <v>12</v>
      </c>
      <c r="D51" s="1292">
        <v>131309.44055145301</v>
      </c>
      <c r="E51" s="1292">
        <v>236</v>
      </c>
      <c r="F51" s="1292">
        <v>4834947.2638582904</v>
      </c>
    </row>
    <row r="52" spans="1:6">
      <c r="A52" s="1291" t="s">
        <v>41</v>
      </c>
      <c r="B52" s="1291" t="s">
        <v>28</v>
      </c>
      <c r="C52" s="1292">
        <v>10</v>
      </c>
      <c r="D52" s="1292">
        <v>175799.340350891</v>
      </c>
      <c r="E52" s="1292">
        <v>22</v>
      </c>
      <c r="F52" s="1292">
        <v>316502.334849537</v>
      </c>
    </row>
    <row r="53" spans="1:6">
      <c r="A53" s="1291" t="s">
        <v>43</v>
      </c>
      <c r="B53" s="1291" t="s">
        <v>44</v>
      </c>
      <c r="C53" s="1292">
        <v>172</v>
      </c>
      <c r="D53" s="1292">
        <v>2539679.75604648</v>
      </c>
      <c r="E53" s="1292">
        <v>374</v>
      </c>
      <c r="F53" s="1292">
        <v>2052965.0158891301</v>
      </c>
    </row>
    <row r="54" spans="1:6">
      <c r="A54" s="1291" t="s">
        <v>45</v>
      </c>
      <c r="B54" s="1291" t="s">
        <v>46</v>
      </c>
      <c r="C54" s="1292">
        <v>0</v>
      </c>
      <c r="D54" s="1292">
        <v>0</v>
      </c>
      <c r="E54" s="1292">
        <v>3</v>
      </c>
      <c r="F54" s="1292">
        <v>1542986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51</v>
      </c>
      <c r="D57" s="1292">
        <v>2516473.9063856099</v>
      </c>
      <c r="E57" s="1292">
        <v>95</v>
      </c>
      <c r="F57" s="1292">
        <v>2543507.54195263</v>
      </c>
    </row>
    <row r="58" spans="1:6">
      <c r="A58" s="1291" t="s">
        <v>48</v>
      </c>
      <c r="B58" s="1291" t="s">
        <v>50</v>
      </c>
      <c r="C58" s="1292">
        <v>50</v>
      </c>
      <c r="D58" s="1292">
        <v>3883651.64681077</v>
      </c>
      <c r="E58" s="1292">
        <v>93</v>
      </c>
      <c r="F58" s="1292">
        <v>1893438.83020774</v>
      </c>
    </row>
    <row r="59" spans="1:6">
      <c r="A59" s="1291" t="s">
        <v>48</v>
      </c>
      <c r="B59" s="1291" t="s">
        <v>51</v>
      </c>
      <c r="C59" s="1292">
        <v>172</v>
      </c>
      <c r="D59" s="1292">
        <v>7447166.4160200097</v>
      </c>
      <c r="E59" s="1292">
        <v>396</v>
      </c>
      <c r="F59" s="1292">
        <v>8260543.2143370695</v>
      </c>
    </row>
    <row r="60" spans="1:6">
      <c r="A60" s="1291" t="s">
        <v>48</v>
      </c>
      <c r="B60" s="1291" t="s">
        <v>52</v>
      </c>
      <c r="C60" s="1292">
        <v>88</v>
      </c>
      <c r="D60" s="1292">
        <v>3308150.0289770798</v>
      </c>
      <c r="E60" s="1292">
        <v>140</v>
      </c>
      <c r="F60" s="1292">
        <v>2919794.6804244402</v>
      </c>
    </row>
    <row r="61" spans="1:6">
      <c r="A61" s="1291" t="s">
        <v>48</v>
      </c>
      <c r="B61" s="1291" t="s">
        <v>53</v>
      </c>
      <c r="C61" s="1292">
        <v>150</v>
      </c>
      <c r="D61" s="1292">
        <v>3672543.2582359998</v>
      </c>
      <c r="E61" s="1292">
        <v>344</v>
      </c>
      <c r="F61" s="1292">
        <v>3339287.3457415001</v>
      </c>
    </row>
    <row r="62" spans="1:6">
      <c r="A62" s="1291" t="s">
        <v>48</v>
      </c>
      <c r="B62" s="1291" t="s">
        <v>54</v>
      </c>
      <c r="C62" s="1292">
        <v>8</v>
      </c>
      <c r="D62" s="1292">
        <v>542848.86324842798</v>
      </c>
      <c r="E62" s="1292">
        <v>18</v>
      </c>
      <c r="F62" s="1292">
        <v>345622.41729016701</v>
      </c>
    </row>
    <row r="63" spans="1:6">
      <c r="A63" s="1291" t="s">
        <v>48</v>
      </c>
      <c r="B63" s="1291" t="s">
        <v>28</v>
      </c>
      <c r="C63" s="1292">
        <v>169</v>
      </c>
      <c r="D63" s="1292">
        <v>10516239.2220082</v>
      </c>
      <c r="E63" s="1292">
        <v>193</v>
      </c>
      <c r="F63" s="1292">
        <v>2856925.7743919799</v>
      </c>
    </row>
    <row r="64" spans="1:6">
      <c r="A64" s="1291" t="s">
        <v>55</v>
      </c>
      <c r="B64" s="1291" t="s">
        <v>56</v>
      </c>
      <c r="C64" s="1292">
        <v>0</v>
      </c>
      <c r="D64" s="1292">
        <v>0</v>
      </c>
      <c r="E64" s="1292">
        <v>0</v>
      </c>
      <c r="F64" s="1292">
        <v>0</v>
      </c>
    </row>
    <row r="65" spans="1:6">
      <c r="A65" s="1291" t="s">
        <v>55</v>
      </c>
      <c r="B65" s="1291" t="s">
        <v>28</v>
      </c>
      <c r="C65" s="1292">
        <v>4</v>
      </c>
      <c r="D65" s="1292">
        <v>136979.290545511</v>
      </c>
      <c r="E65" s="1292">
        <v>4</v>
      </c>
      <c r="F65" s="1292">
        <v>40887.129120602403</v>
      </c>
    </row>
    <row r="66" spans="1:6">
      <c r="A66" s="1291" t="s">
        <v>55</v>
      </c>
      <c r="B66" s="1291" t="s">
        <v>57</v>
      </c>
      <c r="C66" s="1292">
        <v>0</v>
      </c>
      <c r="D66" s="1292">
        <v>0</v>
      </c>
      <c r="E66" s="1292">
        <v>22</v>
      </c>
      <c r="F66" s="1292">
        <v>876977.57010107196</v>
      </c>
    </row>
    <row r="67" spans="1:6">
      <c r="A67" s="1293" t="s">
        <v>55</v>
      </c>
      <c r="B67" s="1293" t="s">
        <v>58</v>
      </c>
      <c r="C67" s="1292">
        <v>26</v>
      </c>
      <c r="D67" s="1292">
        <v>2235435.4913786598</v>
      </c>
      <c r="E67" s="1292">
        <v>81</v>
      </c>
      <c r="F67" s="1292">
        <v>880468.50265521102</v>
      </c>
    </row>
    <row r="68" spans="1:6">
      <c r="A68" s="1286" t="s">
        <v>55</v>
      </c>
      <c r="B68" s="1286" t="s">
        <v>59</v>
      </c>
      <c r="C68" s="1295">
        <v>10</v>
      </c>
      <c r="D68" s="1295">
        <v>306974.39880115702</v>
      </c>
      <c r="E68" s="1295">
        <v>26</v>
      </c>
      <c r="F68" s="1295">
        <v>210318.973856695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178551360</v>
      </c>
      <c r="E73" s="443"/>
      <c r="F73" s="324"/>
    </row>
    <row r="74" spans="1:6">
      <c r="A74" s="1291" t="s">
        <v>63</v>
      </c>
      <c r="B74" s="1291" t="s">
        <v>648</v>
      </c>
      <c r="C74" s="1305" t="s">
        <v>650</v>
      </c>
      <c r="D74" s="1306">
        <v>20183709.5</v>
      </c>
      <c r="E74" s="443"/>
      <c r="F74" s="324"/>
    </row>
    <row r="75" spans="1:6">
      <c r="A75" s="1291" t="s">
        <v>64</v>
      </c>
      <c r="B75" s="1291" t="s">
        <v>647</v>
      </c>
      <c r="C75" s="1305" t="s">
        <v>651</v>
      </c>
      <c r="D75" s="1306">
        <v>46173523</v>
      </c>
      <c r="E75" s="443"/>
      <c r="F75" s="324"/>
    </row>
    <row r="76" spans="1:6">
      <c r="A76" s="1291" t="s">
        <v>64</v>
      </c>
      <c r="B76" s="1291" t="s">
        <v>648</v>
      </c>
      <c r="C76" s="1305" t="s">
        <v>652</v>
      </c>
      <c r="D76" s="1306">
        <v>2437841.5</v>
      </c>
      <c r="E76" s="443"/>
      <c r="F76" s="324"/>
    </row>
    <row r="77" spans="1:6">
      <c r="A77" s="1291" t="s">
        <v>65</v>
      </c>
      <c r="B77" s="1291" t="s">
        <v>647</v>
      </c>
      <c r="C77" s="1305" t="s">
        <v>653</v>
      </c>
      <c r="D77" s="1306">
        <v>11955116</v>
      </c>
      <c r="E77" s="443"/>
      <c r="F77" s="324"/>
    </row>
    <row r="78" spans="1:6">
      <c r="A78" s="1286" t="s">
        <v>65</v>
      </c>
      <c r="B78" s="1286" t="s">
        <v>648</v>
      </c>
      <c r="C78" s="1286" t="s">
        <v>654</v>
      </c>
      <c r="D78" s="1307">
        <v>2081414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404419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27731.414816599579</v>
      </c>
      <c r="C90" s="324"/>
      <c r="D90" s="324"/>
      <c r="E90" s="324"/>
      <c r="F90" s="324"/>
    </row>
    <row r="91" spans="1:6">
      <c r="A91" s="1291" t="s">
        <v>67</v>
      </c>
      <c r="B91" s="1292">
        <v>4626.5253834721789</v>
      </c>
      <c r="C91" s="324"/>
      <c r="D91" s="324"/>
      <c r="E91" s="324"/>
      <c r="F91" s="324"/>
    </row>
    <row r="92" spans="1:6">
      <c r="A92" s="1286" t="s">
        <v>68</v>
      </c>
      <c r="B92" s="1287">
        <v>3272.6310531971553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3634</v>
      </c>
      <c r="C97" s="324"/>
      <c r="D97" s="324"/>
      <c r="E97" s="324"/>
      <c r="F97" s="324"/>
    </row>
    <row r="98" spans="1:6">
      <c r="A98" s="1291" t="s">
        <v>71</v>
      </c>
      <c r="B98" s="1292">
        <v>2</v>
      </c>
      <c r="C98" s="324"/>
      <c r="D98" s="324"/>
      <c r="E98" s="324"/>
      <c r="F98" s="324"/>
    </row>
    <row r="99" spans="1:6">
      <c r="A99" s="1291" t="s">
        <v>72</v>
      </c>
      <c r="B99" s="1292">
        <v>273</v>
      </c>
      <c r="C99" s="324"/>
      <c r="D99" s="324"/>
      <c r="E99" s="324"/>
      <c r="F99" s="324"/>
    </row>
    <row r="100" spans="1:6">
      <c r="A100" s="1291" t="s">
        <v>73</v>
      </c>
      <c r="B100" s="1292">
        <v>857</v>
      </c>
      <c r="C100" s="324"/>
      <c r="D100" s="324"/>
      <c r="E100" s="324"/>
      <c r="F100" s="324"/>
    </row>
    <row r="101" spans="1:6">
      <c r="A101" s="1291" t="s">
        <v>74</v>
      </c>
      <c r="B101" s="1292">
        <v>251</v>
      </c>
      <c r="C101" s="324"/>
      <c r="D101" s="324"/>
      <c r="E101" s="324"/>
      <c r="F101" s="324"/>
    </row>
    <row r="102" spans="1:6">
      <c r="A102" s="1291" t="s">
        <v>75</v>
      </c>
      <c r="B102" s="1292">
        <v>175</v>
      </c>
      <c r="C102" s="324"/>
      <c r="D102" s="324"/>
      <c r="E102" s="324"/>
      <c r="F102" s="324"/>
    </row>
    <row r="103" spans="1:6">
      <c r="A103" s="1291" t="s">
        <v>76</v>
      </c>
      <c r="B103" s="1292">
        <v>357</v>
      </c>
      <c r="C103" s="324"/>
      <c r="D103" s="324"/>
      <c r="E103" s="324"/>
      <c r="F103" s="324"/>
    </row>
    <row r="104" spans="1:6">
      <c r="A104" s="1291" t="s">
        <v>77</v>
      </c>
      <c r="B104" s="1292">
        <v>2984</v>
      </c>
      <c r="C104" s="324"/>
      <c r="D104" s="324"/>
      <c r="E104" s="324"/>
      <c r="F104" s="324"/>
    </row>
    <row r="105" spans="1:6">
      <c r="A105" s="1286" t="s">
        <v>78</v>
      </c>
      <c r="B105" s="1295">
        <v>18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58</v>
      </c>
      <c r="C123" s="1292">
        <v>67</v>
      </c>
      <c r="D123" s="324"/>
      <c r="E123" s="324"/>
      <c r="F123" s="324"/>
    </row>
    <row r="124" spans="1:6" s="43" customFormat="1">
      <c r="A124" s="1293" t="s">
        <v>88</v>
      </c>
      <c r="B124" s="1314">
        <v>1</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280</v>
      </c>
      <c r="C129" s="324"/>
      <c r="D129" s="324"/>
      <c r="E129" s="324"/>
      <c r="F129" s="324"/>
    </row>
    <row r="130" spans="1:6">
      <c r="A130" s="1291" t="s">
        <v>289</v>
      </c>
      <c r="B130" s="1292">
        <v>9</v>
      </c>
      <c r="C130" s="324"/>
      <c r="D130" s="324"/>
      <c r="E130" s="324"/>
      <c r="F130" s="324"/>
    </row>
    <row r="131" spans="1:6">
      <c r="A131" s="1291" t="s">
        <v>290</v>
      </c>
      <c r="B131" s="1292">
        <v>5</v>
      </c>
      <c r="C131" s="324"/>
      <c r="D131" s="324"/>
      <c r="E131" s="324"/>
      <c r="F131" s="324"/>
    </row>
    <row r="132" spans="1:6">
      <c r="A132" s="1286" t="s">
        <v>291</v>
      </c>
      <c r="B132" s="1287">
        <v>38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113483.49810613615</v>
      </c>
      <c r="C3" s="43" t="s">
        <v>169</v>
      </c>
      <c r="D3" s="43"/>
      <c r="E3" s="154"/>
      <c r="F3" s="43"/>
      <c r="G3" s="43"/>
      <c r="H3" s="43"/>
      <c r="I3" s="43"/>
      <c r="J3" s="43"/>
      <c r="K3" s="96"/>
    </row>
    <row r="4" spans="1:11">
      <c r="A4" s="352" t="s">
        <v>170</v>
      </c>
      <c r="B4" s="49">
        <f>IF(ISERROR('SEAP template'!B78+'SEAP template'!C78),0,'SEAP template'!B78+'SEAP template'!C78)</f>
        <v>35674.221253268915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0.15152731869792321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1542.9860000000001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1542.9860000000001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0.15152731869792321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233.80453136843377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38470.859877285104</v>
      </c>
      <c r="C5" s="17">
        <f>IF(ISERROR('Eigen informatie GS &amp; warmtenet'!B57),0,'Eigen informatie GS &amp; warmtenet'!B57)</f>
        <v>0</v>
      </c>
      <c r="D5" s="30">
        <f>(SUM(HH_hh_gas_kWh,HH_rest_gas_kWh)/1000)*0.902</f>
        <v>90718.074568698605</v>
      </c>
      <c r="E5" s="17">
        <f>B32*B41</f>
        <v>2251.5228884010139</v>
      </c>
      <c r="F5" s="17">
        <f>B36*B45</f>
        <v>57043.497497892218</v>
      </c>
      <c r="G5" s="18"/>
      <c r="H5" s="17"/>
      <c r="I5" s="17"/>
      <c r="J5" s="17">
        <f>B35*B44+C35*C44</f>
        <v>274.48691018127386</v>
      </c>
      <c r="K5" s="17"/>
      <c r="L5" s="17"/>
      <c r="M5" s="17"/>
      <c r="N5" s="17">
        <f>B34*B43+C34*C43</f>
        <v>14527.75388662664</v>
      </c>
      <c r="O5" s="17">
        <f>B52*B53*B54</f>
        <v>544.04000000000008</v>
      </c>
      <c r="P5" s="17">
        <f>B60*B61*B62/1000-B60*B61*B62/1000/B63</f>
        <v>1849.4666666666667</v>
      </c>
    </row>
    <row r="6" spans="1:16">
      <c r="A6" s="16" t="s">
        <v>613</v>
      </c>
      <c r="B6" s="756">
        <f>kWh_PV_kleiner_dan_10kW</f>
        <v>4626.5253834721789</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43097.385260757284</v>
      </c>
      <c r="C8" s="21">
        <f>C5</f>
        <v>0</v>
      </c>
      <c r="D8" s="21">
        <f>D5</f>
        <v>90718.074568698605</v>
      </c>
      <c r="E8" s="21">
        <f>E5</f>
        <v>2251.5228884010139</v>
      </c>
      <c r="F8" s="21">
        <f>F5</f>
        <v>57043.497497892218</v>
      </c>
      <c r="G8" s="21"/>
      <c r="H8" s="21"/>
      <c r="I8" s="21"/>
      <c r="J8" s="21">
        <f>J5</f>
        <v>274.48691018127386</v>
      </c>
      <c r="K8" s="21"/>
      <c r="L8" s="21">
        <f>L5</f>
        <v>0</v>
      </c>
      <c r="M8" s="21">
        <f>M5</f>
        <v>0</v>
      </c>
      <c r="N8" s="21">
        <f>N5</f>
        <v>14527.75388662664</v>
      </c>
      <c r="O8" s="21">
        <f>O5</f>
        <v>544.04000000000008</v>
      </c>
      <c r="P8" s="21">
        <f>P5</f>
        <v>1849.4666666666667</v>
      </c>
    </row>
    <row r="9" spans="1:16">
      <c r="B9" s="19"/>
      <c r="C9" s="19"/>
      <c r="D9" s="254"/>
      <c r="E9" s="19"/>
      <c r="F9" s="19"/>
      <c r="G9" s="19"/>
      <c r="H9" s="19"/>
      <c r="I9" s="19"/>
      <c r="J9" s="19"/>
      <c r="K9" s="19"/>
      <c r="L9" s="19"/>
      <c r="M9" s="19"/>
      <c r="N9" s="19"/>
      <c r="O9" s="19"/>
      <c r="P9" s="19"/>
    </row>
    <row r="10" spans="1:16">
      <c r="A10" s="24" t="s">
        <v>213</v>
      </c>
      <c r="B10" s="25">
        <f ca="1">'EF ele_warmte'!B12</f>
        <v>0.15152731869792321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6530.4312314539475</v>
      </c>
      <c r="C12" s="23">
        <f ca="1">C10*C8</f>
        <v>0</v>
      </c>
      <c r="D12" s="23">
        <f>D8*D10</f>
        <v>18325.051062877119</v>
      </c>
      <c r="E12" s="23">
        <f>E10*E8</f>
        <v>511.09569566703016</v>
      </c>
      <c r="F12" s="23">
        <f>F10*F8</f>
        <v>15230.613831937224</v>
      </c>
      <c r="G12" s="23"/>
      <c r="H12" s="23"/>
      <c r="I12" s="23"/>
      <c r="J12" s="23">
        <f>J10*J8</f>
        <v>97.168366204170937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9930</v>
      </c>
      <c r="C26" s="36"/>
      <c r="D26" s="225"/>
    </row>
    <row r="27" spans="1:5" s="15" customFormat="1">
      <c r="A27" s="227" t="s">
        <v>768</v>
      </c>
      <c r="B27" s="37">
        <f>SUM(HH_hh_gas_aantal,HH_rest_gas_aantal)</f>
        <v>6276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5962.2</v>
      </c>
      <c r="C31" s="34" t="s">
        <v>110</v>
      </c>
      <c r="D31" s="171"/>
    </row>
    <row r="32" spans="1:5">
      <c r="A32" s="168" t="s">
        <v>72</v>
      </c>
      <c r="B32" s="33">
        <f>IF((B21*($B$26-($B$27-0.05*$B$27)-$B$60))&lt;0,0,B21*($B$26-($B$27-0.05*$B$27)-$B$60))</f>
        <v>42.580713334072371</v>
      </c>
      <c r="C32" s="34" t="s">
        <v>110</v>
      </c>
      <c r="D32" s="171"/>
    </row>
    <row r="33" spans="1:6">
      <c r="A33" s="168" t="s">
        <v>73</v>
      </c>
      <c r="B33" s="33">
        <f>IF((B22*($B$26-($B$27-0.05*$B$27)-$B$60))&lt;0,0,B22*($B$26-($B$27-0.05*$B$27)-$B$60))</f>
        <v>885.28878819048816</v>
      </c>
      <c r="C33" s="34" t="s">
        <v>110</v>
      </c>
      <c r="D33" s="171"/>
    </row>
    <row r="34" spans="1:6">
      <c r="A34" s="168" t="s">
        <v>74</v>
      </c>
      <c r="B34" s="33">
        <f>IF((B24*($B$26-($B$27-0.05*$B$27)-$B$60))&lt;0,0,B24*($B$26-($B$27-0.05*$B$27)-$B$60))</f>
        <v>176.05246853301094</v>
      </c>
      <c r="C34" s="33">
        <f>B26*C24</f>
        <v>2032.6268326653446</v>
      </c>
      <c r="D34" s="230"/>
    </row>
    <row r="35" spans="1:6">
      <c r="A35" s="168" t="s">
        <v>76</v>
      </c>
      <c r="B35" s="33">
        <f>IF((B19*($B$26-($B$27-0.05*$B$27)-$B$60))&lt;0,0,B19*($B$26-($B$27-0.05*$B$27)-$B$60))</f>
        <v>32.229008486726158</v>
      </c>
      <c r="C35" s="33">
        <f>B35/2</f>
        <v>16.114504243363079</v>
      </c>
      <c r="D35" s="230"/>
    </row>
    <row r="36" spans="1:6">
      <c r="A36" s="168" t="s">
        <v>77</v>
      </c>
      <c r="B36" s="33">
        <f>IF((B18*($B$26-($B$27-0.05*$B$27)-$B$60))&lt;0,0,B18*($B$26-($B$27-0.05*$B$27)-$B$60))</f>
        <v>2734.649021455703</v>
      </c>
      <c r="C36" s="34" t="s">
        <v>110</v>
      </c>
      <c r="D36" s="171"/>
    </row>
    <row r="37" spans="1:6">
      <c r="A37" s="168" t="s">
        <v>78</v>
      </c>
      <c r="B37" s="33">
        <f>B60</f>
        <v>97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348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97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22159.119804345526</v>
      </c>
      <c r="C5" s="17">
        <f>IF(ISERROR('Eigen informatie GS &amp; warmtenet'!B58),0,'Eigen informatie GS &amp; warmtenet'!B58)</f>
        <v>0</v>
      </c>
      <c r="D5" s="30">
        <f>SUM(D6:D12)</f>
        <v>28762.140154200861</v>
      </c>
      <c r="E5" s="17">
        <f>SUM(E6:E12)</f>
        <v>385.28324430460606</v>
      </c>
      <c r="F5" s="17">
        <f>SUM(F6:F12)</f>
        <v>3963.9704962731757</v>
      </c>
      <c r="G5" s="18"/>
      <c r="H5" s="17"/>
      <c r="I5" s="17"/>
      <c r="J5" s="17">
        <f>SUM(J6:J12)</f>
        <v>6.2127696323075243E-2</v>
      </c>
      <c r="K5" s="17"/>
      <c r="L5" s="17"/>
      <c r="M5" s="17"/>
      <c r="N5" s="17">
        <f>SUM(N6:N12)</f>
        <v>2482.258523896578</v>
      </c>
      <c r="O5" s="17">
        <f>B38*B39*B40</f>
        <v>14.070000000000002</v>
      </c>
      <c r="P5" s="17">
        <f>B46*B47*B48/1000-B46*B47*B48/1000/B49</f>
        <v>95.333333333333343</v>
      </c>
      <c r="R5" s="32"/>
    </row>
    <row r="6" spans="1:18">
      <c r="A6" s="32" t="s">
        <v>53</v>
      </c>
      <c r="B6" s="37">
        <f>B26</f>
        <v>3339.2873457415003</v>
      </c>
      <c r="C6" s="33"/>
      <c r="D6" s="37">
        <f>IF(ISERROR(TER_kantoor_gas_kWh/1000),0,TER_kantoor_gas_kWh/1000)*0.902</f>
        <v>3312.6340189288721</v>
      </c>
      <c r="E6" s="33">
        <f>$C$26*'E Balans VL '!I12/100/3.6*1000000</f>
        <v>2.0929542453536107E-2</v>
      </c>
      <c r="F6" s="33">
        <f>$C$26*('E Balans VL '!L12+'E Balans VL '!N12)/100/3.6*1000000</f>
        <v>501.80157947731624</v>
      </c>
      <c r="G6" s="34"/>
      <c r="H6" s="33"/>
      <c r="I6" s="33"/>
      <c r="J6" s="33">
        <f>$C$26*('E Balans VL '!D12+'E Balans VL '!E12)/100/3.6*1000000</f>
        <v>0</v>
      </c>
      <c r="K6" s="33"/>
      <c r="L6" s="33"/>
      <c r="M6" s="33"/>
      <c r="N6" s="33">
        <f>$C$26*'E Balans VL '!Y12/100/3.6*1000000</f>
        <v>3.1935332425179976</v>
      </c>
      <c r="O6" s="33"/>
      <c r="P6" s="33"/>
      <c r="R6" s="32"/>
    </row>
    <row r="7" spans="1:18">
      <c r="A7" s="32" t="s">
        <v>52</v>
      </c>
      <c r="B7" s="37">
        <f t="shared" ref="B7:B12" si="0">B27</f>
        <v>2919.7946804244402</v>
      </c>
      <c r="C7" s="33"/>
      <c r="D7" s="37">
        <f>IF(ISERROR(TER_horeca_gas_kWh/1000),0,TER_horeca_gas_kWh/1000)*0.902</f>
        <v>2983.9513261373259</v>
      </c>
      <c r="E7" s="33">
        <f>$C$27*'E Balans VL '!I9/100/3.6*1000000</f>
        <v>41.810973478726559</v>
      </c>
      <c r="F7" s="33">
        <f>$C$27*('E Balans VL '!L9+'E Balans VL '!N9)/100/3.6*1000000</f>
        <v>369.74230508027898</v>
      </c>
      <c r="G7" s="34"/>
      <c r="H7" s="33"/>
      <c r="I7" s="33"/>
      <c r="J7" s="33">
        <f>$C$27*('E Balans VL '!D9+'E Balans VL '!E9)/100/3.6*1000000</f>
        <v>0</v>
      </c>
      <c r="K7" s="33"/>
      <c r="L7" s="33"/>
      <c r="M7" s="33"/>
      <c r="N7" s="33">
        <f>$C$27*'E Balans VL '!Y9/100/3.6*1000000</f>
        <v>0.8393765946753331</v>
      </c>
      <c r="O7" s="33"/>
      <c r="P7" s="33"/>
      <c r="R7" s="32"/>
    </row>
    <row r="8" spans="1:18">
      <c r="A8" s="6" t="s">
        <v>51</v>
      </c>
      <c r="B8" s="37">
        <f t="shared" si="0"/>
        <v>8260.543214337069</v>
      </c>
      <c r="C8" s="33"/>
      <c r="D8" s="37">
        <f>IF(ISERROR(TER_handel_gas_kWh/1000),0,TER_handel_gas_kWh/1000)*0.902</f>
        <v>6717.3441072500491</v>
      </c>
      <c r="E8" s="33">
        <f>$C$28*'E Balans VL '!I13/100/3.6*1000000</f>
        <v>299.60888373945312</v>
      </c>
      <c r="F8" s="33">
        <f>$C$28*('E Balans VL '!L13+'E Balans VL '!N13)/100/3.6*1000000</f>
        <v>1591.0642663992405</v>
      </c>
      <c r="G8" s="34"/>
      <c r="H8" s="33"/>
      <c r="I8" s="33"/>
      <c r="J8" s="33">
        <f>$C$28*('E Balans VL '!D13+'E Balans VL '!E13)/100/3.6*1000000</f>
        <v>0</v>
      </c>
      <c r="K8" s="33"/>
      <c r="L8" s="33"/>
      <c r="M8" s="33"/>
      <c r="N8" s="33">
        <f>$C$28*'E Balans VL '!Y13/100/3.6*1000000</f>
        <v>11.442753018083284</v>
      </c>
      <c r="O8" s="33"/>
      <c r="P8" s="33"/>
      <c r="R8" s="32"/>
    </row>
    <row r="9" spans="1:18">
      <c r="A9" s="32" t="s">
        <v>50</v>
      </c>
      <c r="B9" s="37">
        <f t="shared" si="0"/>
        <v>1893.43883020774</v>
      </c>
      <c r="C9" s="33"/>
      <c r="D9" s="37">
        <f>IF(ISERROR(TER_gezond_gas_kWh/1000),0,TER_gezond_gas_kWh/1000)*0.902</f>
        <v>3503.0537854233148</v>
      </c>
      <c r="E9" s="33">
        <f>$C$29*'E Balans VL '!I10/100/3.6*1000000</f>
        <v>0.11854796510212663</v>
      </c>
      <c r="F9" s="33">
        <f>$C$29*('E Balans VL '!L10+'E Balans VL '!N10)/100/3.6*1000000</f>
        <v>281.27610319957091</v>
      </c>
      <c r="G9" s="34"/>
      <c r="H9" s="33"/>
      <c r="I9" s="33"/>
      <c r="J9" s="33">
        <f>$C$29*('E Balans VL '!D10+'E Balans VL '!E10)/100/3.6*1000000</f>
        <v>0</v>
      </c>
      <c r="K9" s="33"/>
      <c r="L9" s="33"/>
      <c r="M9" s="33"/>
      <c r="N9" s="33">
        <f>$C$29*'E Balans VL '!Y10/100/3.6*1000000</f>
        <v>29.287894526883107</v>
      </c>
      <c r="O9" s="33"/>
      <c r="P9" s="33"/>
      <c r="R9" s="32"/>
    </row>
    <row r="10" spans="1:18">
      <c r="A10" s="32" t="s">
        <v>49</v>
      </c>
      <c r="B10" s="37">
        <f t="shared" si="0"/>
        <v>2543.5075419526302</v>
      </c>
      <c r="C10" s="33"/>
      <c r="D10" s="37">
        <f>IF(ISERROR(TER_ander_gas_kWh/1000),0,TER_ander_gas_kWh/1000)*0.902</f>
        <v>2269.8594635598201</v>
      </c>
      <c r="E10" s="33">
        <f>$C$30*'E Balans VL '!I14/100/3.6*1000000</f>
        <v>3.0317701004056299</v>
      </c>
      <c r="F10" s="33">
        <f>$C$30*('E Balans VL '!L14+'E Balans VL '!N14)/100/3.6*1000000</f>
        <v>665.49464843882106</v>
      </c>
      <c r="G10" s="34"/>
      <c r="H10" s="33"/>
      <c r="I10" s="33"/>
      <c r="J10" s="33">
        <f>$C$30*('E Balans VL '!D14+'E Balans VL '!E14)/100/3.6*1000000</f>
        <v>5.5209578461525952E-2</v>
      </c>
      <c r="K10" s="33"/>
      <c r="L10" s="33"/>
      <c r="M10" s="33"/>
      <c r="N10" s="33">
        <f>$C$30*'E Balans VL '!Y14/100/3.6*1000000</f>
        <v>2159.8843658726951</v>
      </c>
      <c r="O10" s="33"/>
      <c r="P10" s="33"/>
      <c r="R10" s="32"/>
    </row>
    <row r="11" spans="1:18">
      <c r="A11" s="32" t="s">
        <v>54</v>
      </c>
      <c r="B11" s="37">
        <f t="shared" si="0"/>
        <v>345.62241729016699</v>
      </c>
      <c r="C11" s="33"/>
      <c r="D11" s="37">
        <f>IF(ISERROR(TER_onderwijs_gas_kWh/1000),0,TER_onderwijs_gas_kWh/1000)*0.902</f>
        <v>489.64967465008203</v>
      </c>
      <c r="E11" s="33">
        <f>$C$31*'E Balans VL '!I11/100/3.6*1000000</f>
        <v>5.2148855990712484</v>
      </c>
      <c r="F11" s="33">
        <f>$C$31*('E Balans VL '!L11+'E Balans VL '!N11)/100/3.6*1000000</f>
        <v>60.558568991615715</v>
      </c>
      <c r="G11" s="34"/>
      <c r="H11" s="33"/>
      <c r="I11" s="33"/>
      <c r="J11" s="33">
        <f>$C$31*('E Balans VL '!D11+'E Balans VL '!E11)/100/3.6*1000000</f>
        <v>0</v>
      </c>
      <c r="K11" s="33"/>
      <c r="L11" s="33"/>
      <c r="M11" s="33"/>
      <c r="N11" s="33">
        <f>$C$31*'E Balans VL '!Y11/100/3.6*1000000</f>
        <v>0.97260775747130168</v>
      </c>
      <c r="O11" s="33"/>
      <c r="P11" s="33"/>
      <c r="R11" s="32"/>
    </row>
    <row r="12" spans="1:18">
      <c r="A12" s="32" t="s">
        <v>254</v>
      </c>
      <c r="B12" s="37">
        <f t="shared" si="0"/>
        <v>2856.9257743919798</v>
      </c>
      <c r="C12" s="33"/>
      <c r="D12" s="37">
        <f>IF(ISERROR(TER_rest_gas_kWh/1000),0,TER_rest_gas_kWh/1000)*0.902</f>
        <v>9485.6477782513975</v>
      </c>
      <c r="E12" s="33">
        <f>$C$32*'E Balans VL '!I8/100/3.6*1000000</f>
        <v>35.4772538793938</v>
      </c>
      <c r="F12" s="33">
        <f>$C$32*('E Balans VL '!L8+'E Balans VL '!N8)/100/3.6*1000000</f>
        <v>494.03302468633206</v>
      </c>
      <c r="G12" s="34"/>
      <c r="H12" s="33"/>
      <c r="I12" s="33"/>
      <c r="J12" s="33">
        <f>$C$32*('E Balans VL '!D8+'E Balans VL '!E8)/100/3.6*1000000</f>
        <v>6.9181178615492908E-3</v>
      </c>
      <c r="K12" s="33"/>
      <c r="L12" s="33"/>
      <c r="M12" s="33"/>
      <c r="N12" s="33">
        <f>$C$32*'E Balans VL '!Y8/100/3.6*1000000</f>
        <v>276.63799288425167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22159.119804345526</v>
      </c>
      <c r="C16" s="21">
        <f t="shared" ca="1" si="1"/>
        <v>0</v>
      </c>
      <c r="D16" s="21">
        <f t="shared" ca="1" si="1"/>
        <v>28762.140154200861</v>
      </c>
      <c r="E16" s="21">
        <f t="shared" si="1"/>
        <v>385.28324430460606</v>
      </c>
      <c r="F16" s="21">
        <f t="shared" ca="1" si="1"/>
        <v>3963.9704962731757</v>
      </c>
      <c r="G16" s="21">
        <f t="shared" si="1"/>
        <v>0</v>
      </c>
      <c r="H16" s="21">
        <f t="shared" si="1"/>
        <v>0</v>
      </c>
      <c r="I16" s="21">
        <f t="shared" si="1"/>
        <v>0</v>
      </c>
      <c r="J16" s="21">
        <f t="shared" si="1"/>
        <v>6.2127696323075243E-2</v>
      </c>
      <c r="K16" s="21">
        <f t="shared" si="1"/>
        <v>0</v>
      </c>
      <c r="L16" s="21">
        <f t="shared" ca="1" si="1"/>
        <v>0</v>
      </c>
      <c r="M16" s="21">
        <f t="shared" si="1"/>
        <v>0</v>
      </c>
      <c r="N16" s="21">
        <f t="shared" ca="1" si="1"/>
        <v>2482.258523896578</v>
      </c>
      <c r="O16" s="21">
        <f>O5</f>
        <v>14.070000000000002</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0.15152731869792321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3357.7120086585264</v>
      </c>
      <c r="C20" s="23">
        <f t="shared" ref="C20:P20" ca="1" si="2">C16*C18</f>
        <v>0</v>
      </c>
      <c r="D20" s="23">
        <f t="shared" ca="1" si="2"/>
        <v>5809.9523111485742</v>
      </c>
      <c r="E20" s="23">
        <f t="shared" si="2"/>
        <v>87.459296457145584</v>
      </c>
      <c r="F20" s="23">
        <f t="shared" ca="1" si="2"/>
        <v>1058.3801225049381</v>
      </c>
      <c r="G20" s="23">
        <f t="shared" si="2"/>
        <v>0</v>
      </c>
      <c r="H20" s="23">
        <f t="shared" si="2"/>
        <v>0</v>
      </c>
      <c r="I20" s="23">
        <f t="shared" si="2"/>
        <v>0</v>
      </c>
      <c r="J20" s="23">
        <f t="shared" si="2"/>
        <v>2.1993204498368633E-2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3339.2873457415003</v>
      </c>
      <c r="C26" s="39">
        <f>IF(ISERROR(B26*3.6/1000000/'E Balans VL '!Z12*100),0,B26*3.6/1000000/'E Balans VL '!Z12*100)</f>
        <v>7.0587244630530968E-2</v>
      </c>
      <c r="D26" s="233" t="s">
        <v>732</v>
      </c>
      <c r="F26" s="6"/>
    </row>
    <row r="27" spans="1:18">
      <c r="A27" s="228" t="s">
        <v>52</v>
      </c>
      <c r="B27" s="33">
        <f>IF(ISERROR(TER_horeca_ele_kWh/1000),0,TER_horeca_ele_kWh/1000)</f>
        <v>2919.7946804244402</v>
      </c>
      <c r="C27" s="39">
        <f>IF(ISERROR(B27*3.6/1000000/'E Balans VL '!Z9*100),0,B27*3.6/1000000/'E Balans VL '!Z9*100)</f>
        <v>0.23016632639482343</v>
      </c>
      <c r="D27" s="233" t="s">
        <v>732</v>
      </c>
      <c r="F27" s="6"/>
    </row>
    <row r="28" spans="1:18">
      <c r="A28" s="168" t="s">
        <v>51</v>
      </c>
      <c r="B28" s="33">
        <f>IF(ISERROR(TER_handel_ele_kWh/1000),0,TER_handel_ele_kWh/1000)</f>
        <v>8260.543214337069</v>
      </c>
      <c r="C28" s="39">
        <f>IF(ISERROR(B28*3.6/1000000/'E Balans VL '!Z13*100),0,B28*3.6/1000000/'E Balans VL '!Z13*100)</f>
        <v>0.23975434041466967</v>
      </c>
      <c r="D28" s="233" t="s">
        <v>732</v>
      </c>
      <c r="F28" s="6"/>
    </row>
    <row r="29" spans="1:18">
      <c r="A29" s="228" t="s">
        <v>50</v>
      </c>
      <c r="B29" s="33">
        <f>IF(ISERROR(TER_gezond_ele_kWh/1000),0,TER_gezond_ele_kWh/1000)</f>
        <v>1893.43883020774</v>
      </c>
      <c r="C29" s="39">
        <f>IF(ISERROR(B29*3.6/1000000/'E Balans VL '!Z10*100),0,B29*3.6/1000000/'E Balans VL '!Z10*100)</f>
        <v>0.19941019990715156</v>
      </c>
      <c r="D29" s="233" t="s">
        <v>732</v>
      </c>
      <c r="F29" s="6"/>
    </row>
    <row r="30" spans="1:18">
      <c r="A30" s="228" t="s">
        <v>49</v>
      </c>
      <c r="B30" s="33">
        <f>IF(ISERROR(TER_ander_ele_kWh/1000),0,TER_ander_ele_kWh/1000)</f>
        <v>2543.5075419526302</v>
      </c>
      <c r="C30" s="39">
        <f>IF(ISERROR(B30*3.6/1000000/'E Balans VL '!Z14*100),0,B30*3.6/1000000/'E Balans VL '!Z14*100)</f>
        <v>0.18760966874151605</v>
      </c>
      <c r="D30" s="233" t="s">
        <v>732</v>
      </c>
      <c r="F30" s="6"/>
    </row>
    <row r="31" spans="1:18">
      <c r="A31" s="228" t="s">
        <v>54</v>
      </c>
      <c r="B31" s="33">
        <f>IF(ISERROR(TER_onderwijs_ele_kWh/1000),0,TER_onderwijs_ele_kWh/1000)</f>
        <v>345.62241729016699</v>
      </c>
      <c r="C31" s="39">
        <f>IF(ISERROR(B31*3.6/1000000/'E Balans VL '!Z11*100),0,B31*3.6/1000000/'E Balans VL '!Z11*100)</f>
        <v>8.5834236120631333E-2</v>
      </c>
      <c r="D31" s="233" t="s">
        <v>732</v>
      </c>
    </row>
    <row r="32" spans="1:18">
      <c r="A32" s="228" t="s">
        <v>254</v>
      </c>
      <c r="B32" s="33">
        <f>IF(ISERROR(TER_rest_ele_kWh/1000),0,TER_rest_ele_kWh/1000)</f>
        <v>2856.9257743919798</v>
      </c>
      <c r="C32" s="39">
        <f>IF(ISERROR(B32*3.6/1000000/'E Balans VL '!Z8*100),0,B32*3.6/1000000/'E Balans VL '!Z8*100)</f>
        <v>2.3508706939765946E-2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9</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39338.826002513299</v>
      </c>
      <c r="C5" s="17">
        <f>IF(ISERROR('Eigen informatie GS &amp; warmtenet'!B59),0,'Eigen informatie GS &amp; warmtenet'!B59)</f>
        <v>0</v>
      </c>
      <c r="D5" s="30">
        <f>SUM(D6:D15)</f>
        <v>16823.258177529387</v>
      </c>
      <c r="E5" s="17">
        <f>SUM(E6:E15)</f>
        <v>3182.4399435224905</v>
      </c>
      <c r="F5" s="17">
        <f>SUM(F6:F15)</f>
        <v>10448.237965139171</v>
      </c>
      <c r="G5" s="18"/>
      <c r="H5" s="17"/>
      <c r="I5" s="17"/>
      <c r="J5" s="17">
        <f>SUM(J6:J15)</f>
        <v>115.77764344949226</v>
      </c>
      <c r="K5" s="17"/>
      <c r="L5" s="17"/>
      <c r="M5" s="17"/>
      <c r="N5" s="17">
        <f>SUM(N6:N15)</f>
        <v>2793.5112573241759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888.14727150131398</v>
      </c>
      <c r="C8" s="33"/>
      <c r="D8" s="37">
        <f>IF( ISERROR(IND_metaal_Gas_kWH/1000),0,IND_metaal_Gas_kWH/1000)*0.902</f>
        <v>43.990706413233433</v>
      </c>
      <c r="E8" s="33">
        <f>C30*'E Balans VL '!I18/100/3.6*1000000</f>
        <v>8.1656563806622486</v>
      </c>
      <c r="F8" s="33">
        <f>C30*'E Balans VL '!L18/100/3.6*1000000+C30*'E Balans VL '!N18/100/3.6*1000000</f>
        <v>83.278644651003134</v>
      </c>
      <c r="G8" s="34"/>
      <c r="H8" s="33"/>
      <c r="I8" s="33"/>
      <c r="J8" s="40">
        <f>C30*'E Balans VL '!D18/100/3.6*1000000+C30*'E Balans VL '!E18/100/3.6*1000000</f>
        <v>0</v>
      </c>
      <c r="K8" s="33"/>
      <c r="L8" s="33"/>
      <c r="M8" s="33"/>
      <c r="N8" s="33">
        <f>C30*'E Balans VL '!Y18/100/3.6*1000000</f>
        <v>12.670888553139847</v>
      </c>
      <c r="O8" s="33"/>
      <c r="P8" s="33"/>
      <c r="R8" s="32"/>
    </row>
    <row r="9" spans="1:18">
      <c r="A9" s="6" t="s">
        <v>32</v>
      </c>
      <c r="B9" s="37">
        <f t="shared" si="0"/>
        <v>4737.7239603698599</v>
      </c>
      <c r="C9" s="33"/>
      <c r="D9" s="37">
        <f>IF( ISERROR(IND_andere_gas_kWh/1000),0,IND_andere_gas_kWh/1000)*0.902</f>
        <v>4434.1176963204971</v>
      </c>
      <c r="E9" s="33">
        <f>C31*'E Balans VL '!I19/100/3.6*1000000</f>
        <v>1384.9289462228455</v>
      </c>
      <c r="F9" s="33">
        <f>C31*'E Balans VL '!L19/100/3.6*1000000+C31*'E Balans VL '!N19/100/3.6*1000000</f>
        <v>3807.1198149095185</v>
      </c>
      <c r="G9" s="34"/>
      <c r="H9" s="33"/>
      <c r="I9" s="33"/>
      <c r="J9" s="40">
        <f>C31*'E Balans VL '!D19/100/3.6*1000000+C31*'E Balans VL '!E19/100/3.6*1000000</f>
        <v>0</v>
      </c>
      <c r="K9" s="33"/>
      <c r="L9" s="33"/>
      <c r="M9" s="33"/>
      <c r="N9" s="33">
        <f>C31*'E Balans VL '!Y19/100/3.6*1000000</f>
        <v>371.62063282221351</v>
      </c>
      <c r="O9" s="33"/>
      <c r="P9" s="33"/>
      <c r="R9" s="32"/>
    </row>
    <row r="10" spans="1:18">
      <c r="A10" s="6" t="s">
        <v>40</v>
      </c>
      <c r="B10" s="37">
        <f t="shared" si="0"/>
        <v>1211.9242492127701</v>
      </c>
      <c r="C10" s="33"/>
      <c r="D10" s="37">
        <f>IF( ISERROR(IND_voed_gas_kWh/1000),0,IND_voed_gas_kWh/1000)*0.902</f>
        <v>1477.6002495951318</v>
      </c>
      <c r="E10" s="33">
        <f>C32*'E Balans VL '!I20/100/3.6*1000000</f>
        <v>2.5638445403176586</v>
      </c>
      <c r="F10" s="33">
        <f>C32*'E Balans VL '!L20/100/3.6*1000000+C32*'E Balans VL '!N20/100/3.6*1000000</f>
        <v>77.055381709266328</v>
      </c>
      <c r="G10" s="34"/>
      <c r="H10" s="33"/>
      <c r="I10" s="33"/>
      <c r="J10" s="40">
        <f>C32*'E Balans VL '!D20/100/3.6*1000000+C32*'E Balans VL '!E20/100/3.6*1000000</f>
        <v>0</v>
      </c>
      <c r="K10" s="33"/>
      <c r="L10" s="33"/>
      <c r="M10" s="33"/>
      <c r="N10" s="33">
        <f>C32*'E Balans VL '!Y20/100/3.6*1000000</f>
        <v>83.634732756399231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297.12079281375702</v>
      </c>
      <c r="C12" s="33"/>
      <c r="D12" s="37">
        <f>IF( ISERROR(IND_min_gas_kWh/1000),0,IND_min_gas_kWh/1000)*0.902</f>
        <v>0</v>
      </c>
      <c r="E12" s="33">
        <f>C34*'E Balans VL '!I22/100/3.6*1000000</f>
        <v>8.6123083400396627</v>
      </c>
      <c r="F12" s="33">
        <f>C34*'E Balans VL '!L22/100/3.6*1000000+C34*'E Balans VL '!N22/100/3.6*1000000</f>
        <v>102.15348610915827</v>
      </c>
      <c r="G12" s="34"/>
      <c r="H12" s="33"/>
      <c r="I12" s="33"/>
      <c r="J12" s="40">
        <f>C34*'E Balans VL '!D22/100/3.6*1000000+C34*'E Balans VL '!E22/100/3.6*1000000</f>
        <v>0.48825899860837008</v>
      </c>
      <c r="K12" s="33"/>
      <c r="L12" s="33"/>
      <c r="M12" s="33"/>
      <c r="N12" s="33">
        <f>C34*'E Balans VL '!Y22/100/3.6*1000000</f>
        <v>65.044624219466442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32203.909728615599</v>
      </c>
      <c r="C15" s="33"/>
      <c r="D15" s="37">
        <f>IF( ISERROR(IND_rest_gas_kWh/1000),0,IND_rest_gas_kWh/1000)*0.902</f>
        <v>10867.549525200524</v>
      </c>
      <c r="E15" s="33">
        <f>C37*'E Balans VL '!I15/100/3.6*1000000</f>
        <v>1778.1691880386252</v>
      </c>
      <c r="F15" s="33">
        <f>C37*'E Balans VL '!L15/100/3.6*1000000+C37*'E Balans VL '!N15/100/3.6*1000000</f>
        <v>6378.630637760225</v>
      </c>
      <c r="G15" s="34"/>
      <c r="H15" s="33"/>
      <c r="I15" s="33"/>
      <c r="J15" s="40">
        <f>C37*'E Balans VL '!D15/100/3.6*1000000+C37*'E Balans VL '!E15/100/3.6*1000000</f>
        <v>115.28938445088389</v>
      </c>
      <c r="K15" s="33"/>
      <c r="L15" s="33"/>
      <c r="M15" s="33"/>
      <c r="N15" s="33">
        <f>C37*'E Balans VL '!Y15/100/3.6*1000000</f>
        <v>2260.5403789729571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39338.826002513299</v>
      </c>
      <c r="C18" s="21">
        <f>C5+C16</f>
        <v>0</v>
      </c>
      <c r="D18" s="21">
        <f>MAX((D5+D16),0)</f>
        <v>16823.258177529387</v>
      </c>
      <c r="E18" s="21">
        <f>MAX((E5+E16),0)</f>
        <v>3182.4399435224905</v>
      </c>
      <c r="F18" s="21">
        <f>MAX((F5+F16),0)</f>
        <v>10448.237965139171</v>
      </c>
      <c r="G18" s="21"/>
      <c r="H18" s="21"/>
      <c r="I18" s="21"/>
      <c r="J18" s="21">
        <f>MAX((J5+J16),0)</f>
        <v>115.77764344949226</v>
      </c>
      <c r="K18" s="21"/>
      <c r="L18" s="21">
        <f>MAX((L5+L16),0)</f>
        <v>0</v>
      </c>
      <c r="M18" s="21"/>
      <c r="N18" s="21">
        <f>MAX((N5+N16),0)</f>
        <v>2793.5112573241759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0.15152731869792321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5960.9068248849817</v>
      </c>
      <c r="C22" s="23">
        <f ca="1">C18*C20</f>
        <v>0</v>
      </c>
      <c r="D22" s="23">
        <f>D18*D20</f>
        <v>3398.2981518609363</v>
      </c>
      <c r="E22" s="23">
        <f>E18*E20</f>
        <v>722.4138671796054</v>
      </c>
      <c r="F22" s="23">
        <f>F18*F20</f>
        <v>2789.6795366921588</v>
      </c>
      <c r="G22" s="23"/>
      <c r="H22" s="23"/>
      <c r="I22" s="23"/>
      <c r="J22" s="23">
        <f>J18*J20</f>
        <v>40.985285781120261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888.14727150131398</v>
      </c>
      <c r="C30" s="39">
        <f>IF(ISERROR(B30*3.6/1000000/'E Balans VL '!Z18*100),0,B30*3.6/1000000/'E Balans VL '!Z18*100)</f>
        <v>5.0333583234533866E-2</v>
      </c>
      <c r="D30" s="233" t="s">
        <v>732</v>
      </c>
    </row>
    <row r="31" spans="1:18">
      <c r="A31" s="6" t="s">
        <v>32</v>
      </c>
      <c r="B31" s="37">
        <f>IF( ISERROR(IND_ander_ele_kWh/1000),0,IND_ander_ele_kWh/1000)</f>
        <v>4737.7239603698599</v>
      </c>
      <c r="C31" s="39">
        <f>IF(ISERROR(B31*3.6/1000000/'E Balans VL '!Z19*100),0,B31*3.6/1000000/'E Balans VL '!Z19*100)</f>
        <v>0.21488343130315765</v>
      </c>
      <c r="D31" s="233" t="s">
        <v>732</v>
      </c>
    </row>
    <row r="32" spans="1:18">
      <c r="A32" s="168" t="s">
        <v>40</v>
      </c>
      <c r="B32" s="37">
        <f>IF( ISERROR(IND_voed_ele_kWh/1000),0,IND_voed_ele_kWh/1000)</f>
        <v>1211.9242492127701</v>
      </c>
      <c r="C32" s="39">
        <f>IF(ISERROR(B32*3.6/1000000/'E Balans VL '!Z20*100),0,B32*3.6/1000000/'E Balans VL '!Z20*100)</f>
        <v>3.7490318699706052E-2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297.12079281375702</v>
      </c>
      <c r="C34" s="39">
        <f>IF(ISERROR(B34*3.6/1000000/'E Balans VL '!Z22*100),0,B34*3.6/1000000/'E Balans VL '!Z22*100)</f>
        <v>5.3442760565221625E-2</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32203.909728615599</v>
      </c>
      <c r="C37" s="39">
        <f>IF(ISERROR(B37*3.6/1000000/'E Balans VL '!Z15*100),0,B37*3.6/1000000/'E Balans VL '!Z15*100)</f>
        <v>0.25525553476183621</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5151.449598707828</v>
      </c>
      <c r="C5" s="17">
        <f>'Eigen informatie GS &amp; warmtenet'!B60</f>
        <v>0</v>
      </c>
      <c r="D5" s="30">
        <f>IF(ISERROR(SUM(LB_lb_gas_kWh,LB_rest_gas_kWh)/1000),0,SUM(LB_lb_gas_kWh,LB_rest_gas_kWh)/1000)*0.902</f>
        <v>277.01212037391434</v>
      </c>
      <c r="E5" s="17">
        <f>B17*'E Balans VL '!I25/3.6*1000000/100</f>
        <v>151.41683804917898</v>
      </c>
      <c r="F5" s="17">
        <f>B17*('E Balans VL '!L25/3.6*1000000+'E Balans VL '!N25/3.6*1000000)/100</f>
        <v>21460.660658491473</v>
      </c>
      <c r="G5" s="18"/>
      <c r="H5" s="17"/>
      <c r="I5" s="17"/>
      <c r="J5" s="17">
        <f>('E Balans VL '!D25+'E Balans VL '!E25)/3.6*1000000*landbouw!B17/100</f>
        <v>746.33441820627831</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5151.449598707828</v>
      </c>
      <c r="C8" s="21">
        <f>C5+C6</f>
        <v>62.357142857142847</v>
      </c>
      <c r="D8" s="21">
        <f>MAX((D5+D6),0)</f>
        <v>277.01212037391434</v>
      </c>
      <c r="E8" s="21">
        <f>MAX((E5+E6),0)</f>
        <v>151.41683804917898</v>
      </c>
      <c r="F8" s="21">
        <f>MAX((F5+F6),0)</f>
        <v>21460.660658491473</v>
      </c>
      <c r="G8" s="21"/>
      <c r="H8" s="21"/>
      <c r="I8" s="21"/>
      <c r="J8" s="21">
        <f>MAX((J5+J6),0)</f>
        <v>746.33441820627831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0.15152731869792321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780.58534509968968</v>
      </c>
      <c r="C12" s="23">
        <f ca="1">C8*C10</f>
        <v>0</v>
      </c>
      <c r="D12" s="23">
        <f>D8*D10</f>
        <v>55.9564483155307</v>
      </c>
      <c r="E12" s="23">
        <f>E8*E10</f>
        <v>34.371622237163628</v>
      </c>
      <c r="F12" s="23">
        <f>F8*F10</f>
        <v>5729.9963958172239</v>
      </c>
      <c r="G12" s="23"/>
      <c r="H12" s="23"/>
      <c r="I12" s="23"/>
      <c r="J12" s="23">
        <f>J8*J10</f>
        <v>264.20238404502248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0.73100686023686046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1202.4663099737759</v>
      </c>
      <c r="C26" s="243">
        <f>B26*'GWP N2O_CH4'!B5</f>
        <v>25251.792509449293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393.52249259053087</v>
      </c>
      <c r="C27" s="243">
        <f>B27*'GWP N2O_CH4'!B5</f>
        <v>8263.9723444011488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17.026425225833407</v>
      </c>
      <c r="C28" s="243">
        <f>B28*'GWP N2O_CH4'!B4</f>
        <v>5278.1918200083564</v>
      </c>
      <c r="D28" s="50"/>
    </row>
    <row r="29" spans="1:4">
      <c r="A29" s="41" t="s">
        <v>271</v>
      </c>
      <c r="B29" s="243">
        <f>B34*'ha_N2O bodem landbouw'!B4</f>
        <v>42.147164964539243</v>
      </c>
      <c r="C29" s="243">
        <f>B29*'GWP N2O_CH4'!B4</f>
        <v>13065.621139007166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9.6178377993158346E-3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4.5341700154821106E-4</v>
      </c>
      <c r="C5" s="431" t="s">
        <v>210</v>
      </c>
      <c r="D5" s="416">
        <f>SUM(D6:D11)</f>
        <v>7.9271326727313408E-4</v>
      </c>
      <c r="E5" s="416">
        <f>SUM(E6:E11)</f>
        <v>1.3910351877771136E-3</v>
      </c>
      <c r="F5" s="429" t="s">
        <v>210</v>
      </c>
      <c r="G5" s="416">
        <f>SUM(G6:G11)</f>
        <v>0.6403573576294046</v>
      </c>
      <c r="H5" s="416">
        <f>SUM(H6:H11)</f>
        <v>0.12755745909154456</v>
      </c>
      <c r="I5" s="431" t="s">
        <v>210</v>
      </c>
      <c r="J5" s="431" t="s">
        <v>210</v>
      </c>
      <c r="K5" s="431" t="s">
        <v>210</v>
      </c>
      <c r="L5" s="431" t="s">
        <v>210</v>
      </c>
      <c r="M5" s="416">
        <f>SUM(M6:M11)</f>
        <v>4.1168471406383897E-2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3.1318732274087318E-4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5.2652296330069667E-4</v>
      </c>
      <c r="E6" s="859">
        <f>vkm_GW_PW*SUMIFS(TableVerdeelsleutelVkm[LPG],TableVerdeelsleutelVkm[Voertuigtype],"Lichte voertuigen")*SUMIFS(TableECFTransport[EnergieConsumptieFactor (PJ per km)],TableECFTransport[Index],CONCATENATE($A6,"_LPG_LPG"))</f>
        <v>9.264216645442912E-4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0.27486662555618702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8.5066946952190733E-2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1.8563644713775619E-2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5.903440891244781E-6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0.18962099262358276</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3.0937777489978968E-6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1.1078709623145194E-2</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1.0710387197255047E-4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2.3087712407236102E-4</v>
      </c>
      <c r="E8" s="419">
        <f>vkm_NGW_PW*SUMIFS(TableVerdeelsleutelVkm[LPG],TableVerdeelsleutelVkm[Voertuigtype],"Lichte voertuigen")*SUMIFS(TableECFTransport[EnergieConsumptieFactor (PJ per km)],TableECFTransport[Index],CONCATENATE($A8,"_LPG_LPG"))</f>
        <v>3.8900184346601078E-4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0.10732922752902233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3.6534400410548298E-2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7.346364300801129E-3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7.130331120487795E-7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2.9385965286472426E-2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4.5103478475911169E-7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1.7168901674179445E-3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2.5900549568971683E-5</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3.5313179900076382E-5</v>
      </c>
      <c r="E10" s="419">
        <f>vkm_SW_PW*SUMIFS(TableVerdeelsleutelVkm[LPG],TableVerdeelsleutelVkm[Voertuigtype],"Lichte voertuigen")*SUMIFS(TableECFTransport[EnergieConsumptieFactor (PJ per km)],TableECFTransport[Index],CONCATENATE($A10,"_LPG_LPG"))</f>
        <v>7.5611679766811584E-5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2.052932870153544E-2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5.9522385360169863E-3</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1.3746733925423477E-3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6.0878326252215256E-7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1.8625217932604587E-2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3.2838025479930423E-7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1.0881892087016608E-3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125.9491670967253</v>
      </c>
      <c r="C14" s="21"/>
      <c r="D14" s="21">
        <f t="shared" ref="D14:M14" si="0">((D5)*10^9/3600)+D12</f>
        <v>220.19812979809279</v>
      </c>
      <c r="E14" s="21">
        <f t="shared" si="0"/>
        <v>386.39866327142045</v>
      </c>
      <c r="F14" s="21"/>
      <c r="G14" s="21">
        <f t="shared" si="0"/>
        <v>177877.04378594572</v>
      </c>
      <c r="H14" s="21">
        <f t="shared" si="0"/>
        <v>35432.627525429045</v>
      </c>
      <c r="I14" s="21"/>
      <c r="J14" s="21"/>
      <c r="K14" s="21"/>
      <c r="L14" s="21"/>
      <c r="M14" s="21">
        <f t="shared" si="0"/>
        <v>11435.686501773303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0.15152731869792321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19.084739582403479</v>
      </c>
      <c r="C18" s="23"/>
      <c r="D18" s="23">
        <f t="shared" ref="D18:M18" si="1">D14*D16</f>
        <v>44.480022219214746</v>
      </c>
      <c r="E18" s="23">
        <f t="shared" si="1"/>
        <v>87.712496562612444</v>
      </c>
      <c r="F18" s="23"/>
      <c r="G18" s="23">
        <f t="shared" si="1"/>
        <v>47493.17069084751</v>
      </c>
      <c r="H18" s="23">
        <f t="shared" si="1"/>
        <v>8822.7242538318314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5.3342124574913812E-5</v>
      </c>
      <c r="C50" s="313">
        <f t="shared" ref="C50:P50" si="2">SUM(C51:C52)</f>
        <v>0</v>
      </c>
      <c r="D50" s="313">
        <f t="shared" si="2"/>
        <v>0</v>
      </c>
      <c r="E50" s="313">
        <f t="shared" si="2"/>
        <v>0</v>
      </c>
      <c r="F50" s="313">
        <f t="shared" si="2"/>
        <v>0</v>
      </c>
      <c r="G50" s="313">
        <f t="shared" si="2"/>
        <v>5.0109631354236257E-3</v>
      </c>
      <c r="H50" s="313">
        <f t="shared" si="2"/>
        <v>0</v>
      </c>
      <c r="I50" s="313">
        <f t="shared" si="2"/>
        <v>0</v>
      </c>
      <c r="J50" s="313">
        <f t="shared" si="2"/>
        <v>0</v>
      </c>
      <c r="K50" s="313">
        <f t="shared" si="2"/>
        <v>0</v>
      </c>
      <c r="L50" s="313">
        <f t="shared" si="2"/>
        <v>0</v>
      </c>
      <c r="M50" s="313">
        <f t="shared" si="2"/>
        <v>2.8856632147192696E-4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5.3342124574913812E-5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5.0109631354236257E-3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2.8856632147192696E-4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14.817256826364947</v>
      </c>
      <c r="C54" s="21">
        <f t="shared" ref="C54:P54" si="3">(C50)*10^9/3600</f>
        <v>0</v>
      </c>
      <c r="D54" s="21">
        <f t="shared" si="3"/>
        <v>0</v>
      </c>
      <c r="E54" s="21">
        <f t="shared" si="3"/>
        <v>0</v>
      </c>
      <c r="F54" s="21">
        <f t="shared" si="3"/>
        <v>0</v>
      </c>
      <c r="G54" s="21">
        <f t="shared" si="3"/>
        <v>1391.9342042843405</v>
      </c>
      <c r="H54" s="21">
        <f t="shared" si="3"/>
        <v>0</v>
      </c>
      <c r="I54" s="21">
        <f t="shared" si="3"/>
        <v>0</v>
      </c>
      <c r="J54" s="21">
        <f t="shared" si="3"/>
        <v>0</v>
      </c>
      <c r="K54" s="21">
        <f t="shared" si="3"/>
        <v>0</v>
      </c>
      <c r="L54" s="21">
        <f t="shared" si="3"/>
        <v>0</v>
      </c>
      <c r="M54" s="21">
        <f t="shared" si="3"/>
        <v>80.157311519979714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0.15152731869792321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2.2452191973575797</v>
      </c>
      <c r="C58" s="23">
        <f t="shared" ref="C58:P58" ca="1" si="4">C54*C56</f>
        <v>0</v>
      </c>
      <c r="D58" s="23">
        <f t="shared" si="4"/>
        <v>0</v>
      </c>
      <c r="E58" s="23">
        <f t="shared" si="4"/>
        <v>0</v>
      </c>
      <c r="F58" s="23">
        <f t="shared" si="4"/>
        <v>0</v>
      </c>
      <c r="G58" s="23">
        <f t="shared" si="4"/>
        <v>371.64643254391893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27731.414816599579</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7899.1564366693347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35674.221253268915</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43010</v>
      </c>
      <c r="C28" s="764">
        <v>9991</v>
      </c>
      <c r="D28" s="621" t="s">
        <v>902</v>
      </c>
      <c r="E28" s="620" t="s">
        <v>903</v>
      </c>
      <c r="F28" s="620" t="s">
        <v>904</v>
      </c>
      <c r="G28" s="620" t="s">
        <v>905</v>
      </c>
      <c r="H28" s="620" t="s">
        <v>906</v>
      </c>
      <c r="I28" s="620" t="s">
        <v>903</v>
      </c>
      <c r="J28" s="763">
        <v>41174</v>
      </c>
      <c r="K28" s="763">
        <v>41275</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2021-06-29T15:43:55Z</dcterms:modified>
</cp:coreProperties>
</file>