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<sst xmlns="http://schemas.openxmlformats.org/spreadsheetml/2006/main" count="2476" uniqueCount="902">
  <si>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</si>
  <si>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</si>
  <si>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</si>
  <si>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</si>
  <si>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</si>
  <si>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</si>
  <si>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</si>
  <si>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</si>
  <si>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</si>
  <si>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</si>
  <si>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</si>
  <si>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</si>
  <si>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</si>
  <si>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</si>
  <si>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</si>
  <si>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</si>
  <si>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</si>
  <si>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</si>
  <si>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</si>
  <si>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</si>
  <si>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</si>
  <si>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</si>
  <si>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</si>
  <si>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</si>
  <si>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</si>
  <si>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</si>
  <si>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</si>
  <si>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</si>
  <si>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</si>
  <si>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</si>
  <si>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</si>
  <si>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</si>
  <si>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</si>
  <si>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</si>
  <si>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</si>
  <si>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</si>
  <si>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</si>
  <si>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</si>
  <si>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</si>
  <si>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</si>
  <si>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</si>
  <si>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</si>
  <si>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</si>
  <si>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</si>
  <si>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</si>
  <si>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</si>
  <si>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</si>
  <si>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</si>
  <si>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</si>
  <si>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</si>
  <si>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</si>
  <si>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</si>
  <si>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</si>
  <si>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</si>
  <si>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</si>
  <si>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</si>
  <si>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</si>
  <si>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</si>
  <si>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</si>
  <si>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</si>
  <si>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</si>
  <si>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</si>
  <si>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</si>
  <si>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</si>
  <si>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</si>
  <si>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</si>
  <si>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</si>
  <si>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</si>
  <si>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</si>
  <si>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</si>
  <si>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</si>
  <si>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</si>
  <si>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</si>
  <si>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</si>
  <si>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</si>
  <si>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</si>
  <si>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</si>
  <si>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</si>
  <si>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</si>
  <si>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</si>
  <si>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</si>
  <si>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</si>
  <si>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</si>
  <si>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</si>
  <si>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</si>
  <si>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</si>
  <si>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</si>
  <si>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</si>
  <si>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</si>
  <si>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</si>
  <si>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</si>
  <si>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</si>
  <si>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</si>
  <si>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</si>
  <si>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</si>
  <si>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</si>
  <si>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</si>
  <si>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</si>
  <si>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</si>
  <si>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</si>
  <si>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</si>
  <si>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</si>
  <si>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</si>
  <si>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</si>
  <si>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</si>
  <si>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</si>
  <si>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</si>
  <si>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</si>
  <si>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</si>
  <si>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</si>
  <si>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</si>
  <si>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</si>
  <si>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</si>
  <si>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</si>
  <si>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</si>
  <si>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</si>
  <si>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</si>
  <si>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</si>
  <si>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</si>
  <si>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</si>
  <si>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</si>
  <si>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</si>
  <si>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</si>
  <si>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</si>
  <si>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</si>
  <si>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</si>
  <si>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</si>
  <si>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</si>
  <si>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</si>
  <si>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</si>
  <si>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</si>
  <si>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</si>
  <si>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</si>
  <si>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</si>
  <si>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</si>
  <si>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</si>
  <si>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</si>
  <si>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</si>
  <si>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</si>
  <si>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</si>
  <si>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</si>
  <si>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</si>
  <si>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</si>
  <si>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</si>
  <si>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</si>
  <si>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</si>
  <si>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</si>
  <si>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</si>
  <si>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</si>
  <si>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</si>
  <si>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</si>
  <si>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</si>
  <si>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</si>
  <si>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</si>
  <si>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</si>
  <si>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</si>
  <si>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</si>
  <si>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</si>
  <si>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</si>
  <si>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</si>
  <si>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</si>
  <si>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</si>
  <si>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</si>
  <si>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</si>
  <si>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</si>
  <si>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</si>
  <si>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</si>
  <si>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</si>
  <si>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</si>
  <si>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</si>
  <si>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</si>
  <si>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</si>
  <si>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</si>
  <si>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</si>
  <si>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</si>
  <si>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</si>
  <si>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</si>
  <si>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</si>
  <si>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</si>
  <si>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</si>
  <si>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</si>
  <si>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</si>
  <si>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</si>
  <si>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</si>
  <si>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</si>
  <si>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</si>
  <si>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</si>
  <si>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</si>
  <si>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</si>
  <si>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</si>
  <si>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</si>
  <si>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</si>
  <si>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</si>
  <si>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</si>
  <si>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</si>
  <si>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</si>
  <si>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</si>
  <si>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</si>
  <si>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</si>
  <si>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</si>
  <si>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</si>
  <si>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</si>
  <si>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</si>
  <si>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</si>
  <si>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</si>
  <si>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</si>
  <si>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</si>
  <si>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</si>
  <si>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</si>
  <si>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</si>
  <si>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</si>
  <si>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</si>
  <si>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</si>
  <si>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</si>
  <si>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</si>
  <si>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</si>
  <si>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</si>
  <si>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</si>
  <si>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</si>
  <si>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</si>
  <si>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</si>
  <si>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</si>
  <si>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</si>
  <si>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</si>
  <si>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</si>
  <si>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</si>
  <si>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</si>
  <si>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</si>
  <si>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</si>
  <si>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</si>
  <si>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</si>
  <si>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</si>
  <si>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</si>
  <si>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</si>
  <si>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</si>
  <si>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</si>
  <si>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</si>
  <si>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</si>
  <si>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</si>
  <si>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</si>
  <si>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</si>
  <si>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</si>
  <si>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</si>
  <si>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</si>
  <si>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</si>
  <si>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</si>
  <si>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</si>
  <si>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</si>
  <si>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</si>
  <si>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</si>
  <si>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</si>
  <si>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</si>
  <si>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</si>
  <si>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</si>
  <si>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</si>
  <si>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</si>
  <si>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</si>
  <si>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</si>
  <si>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</si>
  <si>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</si>
  <si>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</si>
  <si>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</si>
  <si>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</si>
  <si>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</si>
  <si>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</si>
  <si>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</si>
  <si>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</si>
  <si>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</si>
  <si>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</si>
  <si>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</si>
  <si>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</si>
  <si>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</si>
  <si>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</si>
  <si>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</si>
  <si>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</si>
  <si>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</si>
  <si>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</si>
  <si>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</si>
  <si>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</si>
  <si>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</si>
  <si>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</si>
  <si>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</si>
  <si>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</si>
  <si>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</si>
  <si>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</si>
  <si>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</si>
  <si>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</si>
  <si>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</si>
  <si>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</si>
  <si>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</si>
  <si>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</si>
  <si>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</si>
  <si>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</si>
  <si>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</si>
  <si>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</si>
  <si>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</si>
  <si>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</si>
  <si>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</si>
  <si>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</si>
  <si>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</si>
  <si>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</si>
  <si>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</si>
  <si>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</si>
  <si>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</si>
  <si>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</si>
  <si>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</si>
  <si>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</si>
  <si>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</si>
  <si>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</si>
  <si>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</si>
  <si>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</si>
  <si>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</si>
  <si>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</si>
  <si>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</si>
  <si>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</si>
  <si>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</si>
  <si>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</si>
  <si>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</si>
  <si>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</si>
  <si>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</si>
  <si>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</si>
  <si>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</si>
  <si>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</si>
  <si>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</si>
  <si>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</si>
  <si>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</si>
  <si>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</si>
  <si>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</si>
  <si>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</si>
  <si>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</si>
  <si>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</si>
  <si>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</si>
  <si>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</si>
  <si>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</si>
  <si>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</si>
  <si>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</si>
  <si>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</si>
  <si>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</si>
  <si>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</si>
  <si>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</si>
  <si>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</si>
  <si>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</si>
  <si>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</si>
  <si>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</si>
  <si>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</si>
  <si>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</si>
  <si>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</si>
  <si>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</si>
  <si>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</si>
  <si>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</si>
  <si>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</si>
  <si>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</si>
  <si>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</si>
  <si>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</si>
  <si>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</si>
  <si>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</si>
  <si>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</si>
  <si>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</si>
  <si>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</si>
  <si>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</si>
  <si>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</si>
  <si>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</si>
  <si>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</si>
  <si>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</si>
  <si>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</si>
  <si>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</si>
  <si>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</si>
  <si>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</si>
  <si>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</si>
  <si>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</si>
  <si>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</si>
  <si>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</si>
  <si>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</si>
  <si>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</si>
  <si>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</si>
  <si>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</si>
  <si>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</si>
  <si>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</si>
  <si>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</si>
  <si>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</si>
  <si>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</si>
  <si>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</si>
  <si>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</si>
  <si>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</si>
  <si>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</si>
  <si>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</si>
  <si>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</si>
  <si>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</si>
  <si>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</si>
  <si>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</si>
  <si>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</si>
  <si>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</si>
  <si>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</si>
  <si>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</si>
  <si>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</si>
  <si>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</si>
  <si>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</si>
  <si>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</si>
  <si>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</si>
  <si>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</si>
  <si>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</si>
  <si>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</si>
  <si>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</si>
  <si>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</si>
  <si>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</si>
  <si>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</si>
  <si>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</si>
  <si>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</si>
  <si>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</si>
  <si>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</si>
  <si>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</si>
  <si>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</si>
  <si>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</si>
  <si>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</si>
  <si>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</si>
  <si>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</si>
  <si>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</si>
  <si>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</si>
  <si>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</si>
  <si>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</si>
  <si>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</si>
  <si>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</si>
  <si>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</si>
  <si>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</si>
  <si>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</si>
  <si>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</si>
  <si>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</si>
  <si>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</si>
  <si>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</si>
  <si>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</si>
  <si>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</si>
  <si>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</si>
  <si>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</si>
  <si>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</si>
  <si>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</si>
  <si>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</si>
  <si>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</si>
  <si>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</si>
  <si>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</si>
  <si>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</si>
  <si>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</si>
  <si>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</si>
  <si>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</si>
  <si>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</si>
  <si>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</si>
  <si>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</si>
  <si>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</si>
  <si>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</si>
  <si>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</si>
  <si>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</si>
  <si>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</si>
  <si>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</si>
  <si>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</si>
  <si>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</si>
  <si>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</si>
  <si>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</si>
  <si>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</si>
  <si>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</si>
  <si>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</si>
  <si>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</si>
  <si>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</si>
  <si>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</si>
  <si>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</si>
  <si>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</si>
  <si>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</si>
  <si>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</si>
  <si>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</si>
  <si>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</si>
  <si>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</si>
  <si>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</si>
  <si>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</si>
  <si>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</si>
  <si>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</si>
  <si>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</si>
  <si>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</si>
  <si>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</si>
  <si>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</si>
  <si>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</si>
  <si>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</si>
  <si>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</si>
  <si>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</si>
  <si>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</si>
  <si>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</si>
  <si>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</si>
  <si>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</si>
  <si>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</si>
  <si>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</si>
  <si>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</si>
  <si>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</si>
  <si>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</si>
  <si>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</si>
  <si>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</si>
  <si>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</si>
  <si>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</si>
  <si>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</si>
  <si>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</si>
  <si>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</si>
  <si>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</si>
  <si>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</si>
  <si>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</si>
  <si>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</si>
  <si>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</si>
  <si>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</si>
  <si>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</si>
  <si>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</si>
  <si>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</si>
  <si>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</si>
  <si>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</si>
  <si>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</si>
  <si>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</si>
  <si>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</si>
  <si>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</si>
  <si>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</si>
  <si>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</si>
  <si>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</si>
  <si>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</si>
  <si>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</si>
  <si>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</si>
  <si>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</si>
  <si>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</si>
  <si>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</si>
  <si>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</si>
  <si>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</si>
  <si>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</si>
  <si>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</si>
  <si>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</si>
  <si>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</si>
  <si>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</si>
  <si>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</si>
  <si>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</si>
  <si>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</si>
  <si>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</si>
  <si>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</si>
  <si>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</si>
  <si>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</si>
  <si>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</si>
  <si>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</si>
  <si>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</si>
  <si>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</si>
  <si>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</si>
  <si>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</si>
  <si>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</si>
  <si>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</si>
  <si>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</si>
  <si>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</si>
  <si>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</si>
  <si>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</si>
  <si>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</si>
  <si>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</si>
  <si>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</si>
  <si>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</si>
  <si>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</si>
  <si>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</si>
  <si>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</si>
  <si>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</si>
  <si>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</si>
  <si>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</si>
  <si>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</si>
  <si>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</si>
  <si>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</si>
  <si>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</si>
  <si>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</si>
  <si>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</si>
  <si>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</si>
  <si>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</si>
  <si>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</si>
  <si>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</si>
  <si>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</si>
  <si>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</si>
  <si>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</si>
  <si>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</si>
  <si>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</si>
  <si>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</si>
  <si>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</si>
  <si>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</si>
  <si>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</si>
  <si>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</si>
  <si>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</si>
  <si>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</si>
  <si>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</si>
  <si>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</si>
  <si>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</si>
  <si>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</si>
  <si>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</si>
  <si>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</si>
  <si>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</si>
  <si>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</si>
  <si>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</si>
  <si>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</si>
  <si>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</si>
  <si>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</si>
  <si>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</si>
  <si>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</si>
  <si>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</si>
  <si>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</si>
  <si>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</si>
  <si>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</si>
  <si>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</si>
  <si>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</si>
  <si>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</si>
  <si>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</si>
  <si>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</si>
  <si>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</si>
  <si>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</si>
  <si>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</si>
  <si>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</si>
  <si>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</si>
  <si>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</si>
  <si>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</si>
  <si>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</si>
  <si>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</si>
  <si>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</si>
  <si>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</si>
  <si>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</si>
  <si>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</si>
  <si>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</si>
  <si>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</si>
  <si>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</si>
  <si>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</si>
  <si>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</si>
  <si>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</si>
  <si>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</si>
  <si>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</si>
  <si>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</si>
  <si>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</si>
  <si>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</si>
  <si>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</si>
  <si>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</si>
  <si>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</si>
  <si>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</si>
  <si>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</si>
  <si>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</si>
  <si>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</si>
  <si>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</si>
  <si>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</si>
  <si>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</si>
  <si>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</si>
  <si>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</si>
  <si>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</si>
  <si>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</si>
  <si>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</si>
  <si>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</si>
  <si>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</si>
  <si>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</si>
  <si>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</si>
  <si>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</si>
  <si>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</si>
  <si>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</si>
  <si>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</si>
  <si>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</si>
  <si>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</si>
  <si>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</si>
  <si>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</si>
  <si>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</si>
  <si>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</si>
  <si>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</si>
  <si>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</si>
  <si>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</si>
  <si>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</si>
  <si>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</si>
  <si>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</si>
  <si>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</si>
  <si>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</si>
  <si>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</si>
  <si>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</si>
  <si>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</si>
  <si>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</si>
  <si>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</si>
  <si>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</si>
  <si>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</si>
  <si>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</si>
  <si>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</si>
  <si>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</si>
  <si>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</si>
  <si>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</si>
  <si>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</si>
  <si>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</si>
  <si>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</si>
  <si>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</si>
  <si>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</si>
  <si>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</si>
  <si>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</si>
  <si>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</si>
  <si>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</si>
  <si>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</si>
  <si>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</si>
  <si>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</si>
  <si>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</si>
  <si>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</si>
  <si>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</si>
  <si>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</si>
  <si>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</si>
  <si>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</si>
  <si>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</si>
  <si>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</si>
  <si>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</si>
  <si>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</si>
  <si>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</si>
  <si>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</si>
  <si>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</si>
  <si>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</si>
  <si>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</si>
  <si>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</si>
  <si>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</si>
  <si>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</si>
  <si>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</si>
  <si>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</si>
  <si>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</si>
  <si>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</si>
  <si>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</si>
  <si>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</si>
  <si>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</si>
  <si>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</si>
  <si>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</si>
  <si>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</si>
  <si>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</si>
  <si>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</si>
  <si>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</si>
  <si>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</si>
  <si>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</si>
  <si>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</si>
  <si>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</si>
  <si>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</si>
  <si>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</si>
  <si>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</si>
  <si>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</si>
  <si>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</si>
  <si>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</si>
  <si>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</si>
  <si>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</si>
  <si>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</si>
  <si>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</si>
  <si>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</si>
  <si>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</si>
  <si>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</si>
  <si>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</si>
  <si>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</si>
  <si>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</si>
  <si>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</si>
  <si>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</si>
  <si>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</si>
  <si>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</si>
  <si>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</si>
  <si>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</si>
  <si>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</si>
  <si>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</si>
  <si>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</si>
  <si>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</si>
  <si>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</si>
  <si>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</si>
  <si>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</si>
  <si>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</si>
  <si>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</si>
  <si>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</si>
  <si>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</si>
  <si>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</si>
  <si>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</si>
  <si>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</si>
  <si>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</si>
  <si>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</si>
  <si>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</si>
  <si>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</si>
  <si>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</si>
  <si>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</si>
  <si>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</si>
  <si>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</si>
  <si>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</si>
  <si>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</si>
  <si>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</si>
  <si>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</si>
  <si>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</si>
  <si>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</si>
  <si>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</si>
  <si>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</si>
  <si>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</si>
  <si>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</si>
  <si>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</si>
  <si>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</si>
  <si>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</si>
  <si>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</si>
  <si>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</si>
  <si>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</si>
  <si>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</si>
  <si>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</si>
  <si>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</si>
  <si>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</si>
  <si>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</si>
  <si>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</si>
  <si>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</si>
  <si>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</si>
  <si>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</si>
  <si>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</si>
  <si>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</si>
  <si>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</si>
  <si>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</si>
  <si>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</si>
  <si>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</si>
  <si>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</si>
  <si>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</si>
  <si>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</si>
  <si>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</si>
  <si>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</si>
  <si>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</si>
  <si>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</si>
  <si>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</si>
  <si>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</si>
  <si>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</si>
  <si>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</si>
  <si>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</si>
  <si>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</si>
  <si>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</si>
  <si>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</si>
  <si>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</si>
  <si>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</si>
  <si>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</si>
  <si>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</si>
  <si>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</si>
  <si>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</si>
  <si>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</si>
  <si>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</si>
  <si>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</si>
  <si>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</si>
  <si>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</si>
  <si>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</si>
  <si>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</si>
  <si>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</si>
  <si>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</si>
  <si>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</si>
  <si>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</si>
  <si>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</si>
  <si>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</si>
  <si>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</si>
  <si>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</si>
  <si>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</si>
  <si>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</si>
  <si>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</si>
  <si>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</si>
  <si>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</si>
  <si>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</si>
  <si>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</si>
  <si>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</si>
  <si>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</si>
  <si>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</si>
  <si>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</si>
  <si>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</si>
  <si>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</si>
  <si>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</si>
  <si>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</si>
  <si>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</si>
  <si>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</si>
  <si>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</si>
  <si>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</si>
  <si>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</si>
  <si>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</si>
  <si>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</si>
  <si>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</si>
  <si>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</si>
  <si>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</si>
  <si>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</si>
  <si>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</si>
  <si>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</si>
  <si>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</si>
  <si>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</si>
  <si>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</si>
  <si>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</si>
  <si>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</si>
  <si>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</si>
  <si>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</si>
  <si>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</si>
  <si>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</si>
  <si>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</si>
  <si>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</si>
  <si>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</si>
  <si>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</si>
  <si>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</si>
  <si>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</si>
  <si>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</si>
  <si>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</si>
  <si>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</si>
  <si>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</si>
  <si>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</si>
  <si>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</si>
  <si>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</si>
  <si>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</si>
  <si>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</si>
  <si>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</si>
  <si>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</si>
  <si>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</si>
  <si>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</si>
  <si>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</si>
  <si>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</si>
  <si>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</si>
  <si>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</si>
  <si>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</si>
  <si>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</si>
  <si>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</si>
  <si>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</si>
  <si>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</si>
  <si>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42028</t>
  </si>
  <si>
    <t>ZELE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</si>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</sst>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176479.67722571956</c:v>
                </c:pt>
                <c:pt idx="1">
                  <c:v>50130.364135301716</c:v>
                </c:pt>
                <c:pt idx="2">
                  <c:v>1365.761</c:v>
                </c:pt>
                <c:pt idx="3">
                  <c:v>9153.9590985494451</c:v>
                </c:pt>
                <c:pt idx="4">
                  <c:v>139721.97262376655</c:v>
                </c:pt>
                <c:pt idx="5">
                  <c:v>121437.22919913525</c:v>
                </c:pt>
                <c:pt idx="6">
                  <c:v>265.4728089624835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176479.67722571956</c:v>
                </c:pt>
                <c:pt idx="1">
                  <c:v>50130.364135301716</c:v>
                </c:pt>
                <c:pt idx="2">
                  <c:v>1365.761</c:v>
                </c:pt>
                <c:pt idx="3">
                  <c:v>9153.9590985494451</c:v>
                </c:pt>
                <c:pt idx="4">
                  <c:v>139721.97262376655</c:v>
                </c:pt>
                <c:pt idx="5">
                  <c:v>121437.22919913525</c:v>
                </c:pt>
                <c:pt idx="6">
                  <c:v>265.4728089624835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34598.768534843439</c:v>
                </c:pt>
                <c:pt idx="2">
                  <c:v>9617.6252490764437</c:v>
                </c:pt>
                <c:pt idx="3">
                  <c:v>245.45107657538537</c:v>
                </c:pt>
                <c:pt idx="4">
                  <c:v>2277.5188190219528</c:v>
                </c:pt>
                <c:pt idx="5">
                  <c:v>26564.884098481707</c:v>
                </c:pt>
                <c:pt idx="6">
                  <c:v>30422.569769273468</c:v>
                </c:pt>
                <c:pt idx="7">
                  <c:v>66.829221096145673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34598.768534843439</c:v>
                </c:pt>
                <c:pt idx="2">
                  <c:v>9617.6252490764437</c:v>
                </c:pt>
                <c:pt idx="3">
                  <c:v>245.45107657538537</c:v>
                </c:pt>
                <c:pt idx="4">
                  <c:v>2277.5188190219528</c:v>
                </c:pt>
                <c:pt idx="5">
                  <c:v>26564.884098481707</c:v>
                </c:pt>
                <c:pt idx="6">
                  <c:v>30422.569769273468</c:v>
                </c:pt>
                <c:pt idx="7">
                  <c:v>66.829221096145673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42028</v>
      </c>
      <c r="B6" s="384"/>
      <c r="C6" s="385"/>
    </row>
    <row r="7" spans="1:7" s="382" customFormat="1" ht="15.75" customHeight="1">
      <c r="A7" s="386" t="str">
        <f>txtMunicipality</f>
        <v>ZELE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20577.349395527333</v>
      </c>
      <c r="D10" s="973">
        <f ca="1">tertiair!C16</f>
        <v>0</v>
      </c>
      <c r="E10" s="973">
        <f ca="1">tertiair!D16</f>
        <v>25529.138199343182</v>
      </c>
      <c r="F10" s="973">
        <f>tertiair!E16</f>
        <v>370.8882826164853</v>
      </c>
      <c r="G10" s="973">
        <f ca="1">tertiair!F16</f>
        <v>3460.2124206013664</v>
      </c>
      <c r="H10" s="973">
        <f>tertiair!G16</f>
        <v>0</v>
      </c>
      <c r="I10" s="973">
        <f>tertiair!H16</f>
        <v>0</v>
      </c>
      <c r="J10" s="973">
        <f>tertiair!I16</f>
        <v>0</v>
      </c>
      <c r="K10" s="973">
        <f>tertiair!J16</f>
        <v>3.7873241168053261E-2</v>
      </c>
      <c r="L10" s="973">
        <f>tertiair!K16</f>
        <v>0</v>
      </c>
      <c r="M10" s="973">
        <f ca="1">tertiair!L16</f>
        <v>0</v>
      </c>
      <c r="N10" s="973">
        <f>tertiair!M16</f>
        <v>0</v>
      </c>
      <c r="O10" s="973">
        <f ca="1">tertiair!N16</f>
        <v>1514.1122973055067</v>
      </c>
      <c r="P10" s="973">
        <f>tertiair!O16</f>
        <v>6.2533333333333339</v>
      </c>
      <c r="Q10" s="974">
        <f>tertiair!P16</f>
        <v>38.133333333333333</v>
      </c>
      <c r="R10" s="668">
        <f ca="1">SUM(C10:Q10)</f>
        <v>51496.125135301714</v>
      </c>
      <c r="S10" s="67"/>
    </row>
    <row r="11" spans="1:19" s="441" customFormat="1">
      <c r="A11" s="777" t="s">
        <v>219</v>
      </c>
      <c r="B11" s="782"/>
      <c r="C11" s="973">
        <f>huishoudens!B8</f>
        <v>35404.954113882501</v>
      </c>
      <c r="D11" s="973">
        <f>huishoudens!C8</f>
        <v>0</v>
      </c>
      <c r="E11" s="973">
        <f>huishoudens!D8</f>
        <v>92894.026756929205</v>
      </c>
      <c r="F11" s="973">
        <f>huishoudens!E8</f>
        <v>1346.3592677579325</v>
      </c>
      <c r="G11" s="973">
        <f>huishoudens!F8</f>
        <v>34110.708763949617</v>
      </c>
      <c r="H11" s="973">
        <f>huishoudens!G8</f>
        <v>0</v>
      </c>
      <c r="I11" s="973">
        <f>huishoudens!H8</f>
        <v>0</v>
      </c>
      <c r="J11" s="973">
        <f>huishoudens!I8</f>
        <v>0</v>
      </c>
      <c r="K11" s="973">
        <f>huishoudens!J8</f>
        <v>164.13690365068857</v>
      </c>
      <c r="L11" s="973">
        <f>huishoudens!K8</f>
        <v>0</v>
      </c>
      <c r="M11" s="973">
        <f>huishoudens!L8</f>
        <v>0</v>
      </c>
      <c r="N11" s="973">
        <f>huishoudens!M8</f>
        <v>0</v>
      </c>
      <c r="O11" s="973">
        <f>huishoudens!N8</f>
        <v>11689.231419549604</v>
      </c>
      <c r="P11" s="973">
        <f>huishoudens!O8</f>
        <v>221.99333333333334</v>
      </c>
      <c r="Q11" s="974">
        <f>huishoudens!P8</f>
        <v>648.26666666666665</v>
      </c>
      <c r="R11" s="668">
        <f>SUM(C11:Q11)</f>
        <v>176479.67722571956</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72269.182062028907</v>
      </c>
      <c r="D13" s="973">
        <f>industrie!C18</f>
        <v>0</v>
      </c>
      <c r="E13" s="973">
        <f>industrie!D18</f>
        <v>45676.027581268056</v>
      </c>
      <c r="F13" s="973">
        <f>industrie!E18</f>
        <v>3327.3248290968854</v>
      </c>
      <c r="G13" s="973">
        <f>industrie!F18</f>
        <v>13272.402967684455</v>
      </c>
      <c r="H13" s="973">
        <f>industrie!G18</f>
        <v>0</v>
      </c>
      <c r="I13" s="973">
        <f>industrie!H18</f>
        <v>0</v>
      </c>
      <c r="J13" s="973">
        <f>industrie!I18</f>
        <v>0</v>
      </c>
      <c r="K13" s="973">
        <f>industrie!J18</f>
        <v>144.80081844555019</v>
      </c>
      <c r="L13" s="973">
        <f>industrie!K18</f>
        <v>0</v>
      </c>
      <c r="M13" s="973">
        <f>industrie!L18</f>
        <v>0</v>
      </c>
      <c r="N13" s="973">
        <f>industrie!M18</f>
        <v>0</v>
      </c>
      <c r="O13" s="973">
        <f>industrie!N18</f>
        <v>5032.2343652427007</v>
      </c>
      <c r="P13" s="973">
        <f>industrie!O18</f>
        <v>0</v>
      </c>
      <c r="Q13" s="974">
        <f>industrie!P18</f>
        <v>0</v>
      </c>
      <c r="R13" s="668">
        <f>SUM(C13:Q13)</f>
        <v>139721.97262376655</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128251.48557143874</v>
      </c>
      <c r="D16" s="700">
        <f t="shared" ref="D16:R16" ca="1" si="0">SUM(D9:D15)</f>
        <v>0</v>
      </c>
      <c r="E16" s="700">
        <f t="shared" ca="1" si="0"/>
        <v>164099.19253754045</v>
      </c>
      <c r="F16" s="700">
        <f t="shared" si="0"/>
        <v>5044.5723794713031</v>
      </c>
      <c r="G16" s="700">
        <f t="shared" ca="1" si="0"/>
        <v>50843.324152235436</v>
      </c>
      <c r="H16" s="700">
        <f t="shared" si="0"/>
        <v>0</v>
      </c>
      <c r="I16" s="700">
        <f t="shared" si="0"/>
        <v>0</v>
      </c>
      <c r="J16" s="700">
        <f t="shared" si="0"/>
        <v>0</v>
      </c>
      <c r="K16" s="700">
        <f t="shared" si="0"/>
        <v>308.97559533740684</v>
      </c>
      <c r="L16" s="700">
        <f t="shared" si="0"/>
        <v>0</v>
      </c>
      <c r="M16" s="700">
        <f t="shared" ca="1" si="0"/>
        <v>0</v>
      </c>
      <c r="N16" s="700">
        <f t="shared" si="0"/>
        <v>0</v>
      </c>
      <c r="O16" s="700">
        <f t="shared" ca="1" si="0"/>
        <v>18235.578082097811</v>
      </c>
      <c r="P16" s="700">
        <f t="shared" si="0"/>
        <v>228.24666666666667</v>
      </c>
      <c r="Q16" s="700">
        <f t="shared" si="0"/>
        <v>686.4</v>
      </c>
      <c r="R16" s="700">
        <f t="shared" ca="1" si="0"/>
        <v>367697.7749847878</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2.6454741966813651</v>
      </c>
      <c r="D19" s="973">
        <f>transport!C54</f>
        <v>0</v>
      </c>
      <c r="E19" s="973">
        <f>transport!D54</f>
        <v>0</v>
      </c>
      <c r="F19" s="973">
        <f>transport!E54</f>
        <v>0</v>
      </c>
      <c r="G19" s="973">
        <f>transport!F54</f>
        <v>0</v>
      </c>
      <c r="H19" s="973">
        <f>transport!G54</f>
        <v>248.51604207604191</v>
      </c>
      <c r="I19" s="973">
        <f>transport!H54</f>
        <v>0</v>
      </c>
      <c r="J19" s="973">
        <f>transport!I54</f>
        <v>0</v>
      </c>
      <c r="K19" s="973">
        <f>transport!J54</f>
        <v>0</v>
      </c>
      <c r="L19" s="973">
        <f>transport!K54</f>
        <v>0</v>
      </c>
      <c r="M19" s="973">
        <f>transport!L54</f>
        <v>0</v>
      </c>
      <c r="N19" s="973">
        <f>transport!M54</f>
        <v>14.31129268976021</v>
      </c>
      <c r="O19" s="973">
        <f>transport!N54</f>
        <v>0</v>
      </c>
      <c r="P19" s="973">
        <f>transport!O54</f>
        <v>0</v>
      </c>
      <c r="Q19" s="974">
        <f>transport!P54</f>
        <v>0</v>
      </c>
      <c r="R19" s="668">
        <f>SUM(C19:Q19)</f>
        <v>265.4728089624835</v>
      </c>
      <c r="S19" s="67"/>
    </row>
    <row r="20" spans="1:19" s="441" customFormat="1">
      <c r="A20" s="777" t="s">
        <v>301</v>
      </c>
      <c r="B20" s="782"/>
      <c r="C20" s="973">
        <f>transport!B14</f>
        <v>67.669285704897618</v>
      </c>
      <c r="D20" s="973">
        <f>transport!C14</f>
        <v>0</v>
      </c>
      <c r="E20" s="973">
        <f>transport!D14</f>
        <v>112.72181040657361</v>
      </c>
      <c r="F20" s="973">
        <f>transport!E14</f>
        <v>206.74236692247922</v>
      </c>
      <c r="G20" s="973">
        <f>transport!F14</f>
        <v>0</v>
      </c>
      <c r="H20" s="973">
        <f>transport!G14</f>
        <v>96571.099885964068</v>
      </c>
      <c r="I20" s="973">
        <f>transport!H14</f>
        <v>18298.090062797433</v>
      </c>
      <c r="J20" s="973">
        <f>transport!I14</f>
        <v>0</v>
      </c>
      <c r="K20" s="973">
        <f>transport!J14</f>
        <v>0</v>
      </c>
      <c r="L20" s="973">
        <f>transport!K14</f>
        <v>0</v>
      </c>
      <c r="M20" s="973">
        <f>transport!L14</f>
        <v>0</v>
      </c>
      <c r="N20" s="973">
        <f>transport!M14</f>
        <v>6180.9057873398015</v>
      </c>
      <c r="O20" s="973">
        <f>transport!N14</f>
        <v>0</v>
      </c>
      <c r="P20" s="973">
        <f>transport!O14</f>
        <v>0</v>
      </c>
      <c r="Q20" s="974">
        <f>transport!P14</f>
        <v>0</v>
      </c>
      <c r="R20" s="668">
        <f>SUM(C20:Q20)</f>
        <v>121437.22919913525</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70.314759901578981</v>
      </c>
      <c r="D22" s="780">
        <f t="shared" ref="D22:R22" si="1">SUM(D18:D21)</f>
        <v>0</v>
      </c>
      <c r="E22" s="780">
        <f t="shared" si="1"/>
        <v>112.72181040657361</v>
      </c>
      <c r="F22" s="780">
        <f t="shared" si="1"/>
        <v>206.74236692247922</v>
      </c>
      <c r="G22" s="780">
        <f t="shared" si="1"/>
        <v>0</v>
      </c>
      <c r="H22" s="780">
        <f t="shared" si="1"/>
        <v>96819.615928040104</v>
      </c>
      <c r="I22" s="780">
        <f t="shared" si="1"/>
        <v>18298.090062797433</v>
      </c>
      <c r="J22" s="780">
        <f t="shared" si="1"/>
        <v>0</v>
      </c>
      <c r="K22" s="780">
        <f t="shared" si="1"/>
        <v>0</v>
      </c>
      <c r="L22" s="780">
        <f t="shared" si="1"/>
        <v>0</v>
      </c>
      <c r="M22" s="780">
        <f t="shared" si="1"/>
        <v>0</v>
      </c>
      <c r="N22" s="780">
        <f t="shared" si="1"/>
        <v>6195.2170800295617</v>
      </c>
      <c r="O22" s="780">
        <f t="shared" si="1"/>
        <v>0</v>
      </c>
      <c r="P22" s="780">
        <f t="shared" si="1"/>
        <v>0</v>
      </c>
      <c r="Q22" s="780">
        <f t="shared" si="1"/>
        <v>0</v>
      </c>
      <c r="R22" s="780">
        <f t="shared" si="1"/>
        <v>121702.70200809774</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1579.3652459676534</v>
      </c>
      <c r="D24" s="973">
        <f>+landbouw!C8</f>
        <v>0</v>
      </c>
      <c r="E24" s="973">
        <f>+landbouw!D8</f>
        <v>719.80510689786547</v>
      </c>
      <c r="F24" s="973">
        <f>+landbouw!E8</f>
        <v>46.422368517236713</v>
      </c>
      <c r="G24" s="973">
        <f>+landbouw!F8</f>
        <v>6579.5502702828808</v>
      </c>
      <c r="H24" s="973">
        <f>+landbouw!G8</f>
        <v>0</v>
      </c>
      <c r="I24" s="973">
        <f>+landbouw!H8</f>
        <v>0</v>
      </c>
      <c r="J24" s="973">
        <f>+landbouw!I8</f>
        <v>0</v>
      </c>
      <c r="K24" s="973">
        <f>+landbouw!J8</f>
        <v>228.81610688380883</v>
      </c>
      <c r="L24" s="973">
        <f>+landbouw!K8</f>
        <v>0</v>
      </c>
      <c r="M24" s="973">
        <f>+landbouw!L8</f>
        <v>0</v>
      </c>
      <c r="N24" s="973">
        <f>+landbouw!M8</f>
        <v>0</v>
      </c>
      <c r="O24" s="973">
        <f>+landbouw!N8</f>
        <v>0</v>
      </c>
      <c r="P24" s="973">
        <f>+landbouw!O8</f>
        <v>0</v>
      </c>
      <c r="Q24" s="974">
        <f>+landbouw!P8</f>
        <v>0</v>
      </c>
      <c r="R24" s="668">
        <f>SUM(C24:Q24)</f>
        <v>9153.9590985494451</v>
      </c>
      <c r="S24" s="67"/>
    </row>
    <row r="25" spans="1:19" s="441" customFormat="1" ht="15" thickBot="1">
      <c r="A25" s="799" t="s">
        <v>808</v>
      </c>
      <c r="B25" s="976"/>
      <c r="C25" s="977">
        <f>IF(Onbekend_ele_kWh="---",0,Onbekend_ele_kWh)/1000+IF(REST_rest_ele_kWh="---",0,REST_rest_ele_kWh)/1000</f>
        <v>2540.93959271415</v>
      </c>
      <c r="D25" s="977"/>
      <c r="E25" s="977">
        <f>IF(onbekend_gas_kWh="---",0,onbekend_gas_kWh)/1000+IF(REST_rest_gas_kWh="---",0,REST_rest_gas_kWh)/1000</f>
        <v>2327.0037196673097</v>
      </c>
      <c r="F25" s="977"/>
      <c r="G25" s="977"/>
      <c r="H25" s="977"/>
      <c r="I25" s="977"/>
      <c r="J25" s="977"/>
      <c r="K25" s="977"/>
      <c r="L25" s="977"/>
      <c r="M25" s="977"/>
      <c r="N25" s="977"/>
      <c r="O25" s="977"/>
      <c r="P25" s="977"/>
      <c r="Q25" s="978"/>
      <c r="R25" s="668">
        <f>SUM(C25:Q25)</f>
        <v>4867.9433123814597</v>
      </c>
      <c r="S25" s="67"/>
    </row>
    <row r="26" spans="1:19" s="441" customFormat="1" ht="15.75" thickBot="1">
      <c r="A26" s="673" t="s">
        <v>809</v>
      </c>
      <c r="B26" s="785"/>
      <c r="C26" s="780">
        <f>SUM(C24:C25)</f>
        <v>4120.3048386818036</v>
      </c>
      <c r="D26" s="780">
        <f t="shared" ref="D26:R26" si="2">SUM(D24:D25)</f>
        <v>0</v>
      </c>
      <c r="E26" s="780">
        <f t="shared" si="2"/>
        <v>3046.808826565175</v>
      </c>
      <c r="F26" s="780">
        <f t="shared" si="2"/>
        <v>46.422368517236713</v>
      </c>
      <c r="G26" s="780">
        <f t="shared" si="2"/>
        <v>6579.5502702828808</v>
      </c>
      <c r="H26" s="780">
        <f t="shared" si="2"/>
        <v>0</v>
      </c>
      <c r="I26" s="780">
        <f t="shared" si="2"/>
        <v>0</v>
      </c>
      <c r="J26" s="780">
        <f t="shared" si="2"/>
        <v>0</v>
      </c>
      <c r="K26" s="780">
        <f t="shared" si="2"/>
        <v>228.81610688380883</v>
      </c>
      <c r="L26" s="780">
        <f t="shared" si="2"/>
        <v>0</v>
      </c>
      <c r="M26" s="780">
        <f t="shared" si="2"/>
        <v>0</v>
      </c>
      <c r="N26" s="780">
        <f t="shared" si="2"/>
        <v>0</v>
      </c>
      <c r="O26" s="780">
        <f t="shared" si="2"/>
        <v>0</v>
      </c>
      <c r="P26" s="780">
        <f t="shared" si="2"/>
        <v>0</v>
      </c>
      <c r="Q26" s="780">
        <f t="shared" si="2"/>
        <v>0</v>
      </c>
      <c r="R26" s="780">
        <f t="shared" si="2"/>
        <v>14021.902410930905</v>
      </c>
      <c r="S26" s="67"/>
    </row>
    <row r="27" spans="1:19" s="441" customFormat="1" ht="17.25" thickTop="1" thickBot="1">
      <c r="A27" s="674" t="s">
        <v>115</v>
      </c>
      <c r="B27" s="773"/>
      <c r="C27" s="675">
        <f ca="1">C22+C16+C26</f>
        <v>132442.10517002211</v>
      </c>
      <c r="D27" s="675">
        <f t="shared" ref="D27:R27" ca="1" si="3">D22+D16+D26</f>
        <v>0</v>
      </c>
      <c r="E27" s="675">
        <f t="shared" ca="1" si="3"/>
        <v>167258.72317451221</v>
      </c>
      <c r="F27" s="675">
        <f t="shared" si="3"/>
        <v>5297.7371149110186</v>
      </c>
      <c r="G27" s="675">
        <f t="shared" ca="1" si="3"/>
        <v>57422.874422518318</v>
      </c>
      <c r="H27" s="675">
        <f t="shared" si="3"/>
        <v>96819.615928040104</v>
      </c>
      <c r="I27" s="675">
        <f t="shared" si="3"/>
        <v>18298.090062797433</v>
      </c>
      <c r="J27" s="675">
        <f t="shared" si="3"/>
        <v>0</v>
      </c>
      <c r="K27" s="675">
        <f t="shared" si="3"/>
        <v>537.7917022212157</v>
      </c>
      <c r="L27" s="675">
        <f t="shared" si="3"/>
        <v>0</v>
      </c>
      <c r="M27" s="675">
        <f t="shared" ca="1" si="3"/>
        <v>0</v>
      </c>
      <c r="N27" s="675">
        <f t="shared" si="3"/>
        <v>6195.2170800295617</v>
      </c>
      <c r="O27" s="675">
        <f t="shared" ca="1" si="3"/>
        <v>18235.578082097811</v>
      </c>
      <c r="P27" s="675">
        <f t="shared" si="3"/>
        <v>228.24666666666667</v>
      </c>
      <c r="Q27" s="675">
        <f t="shared" si="3"/>
        <v>686.4</v>
      </c>
      <c r="R27" s="675">
        <f t="shared" ca="1" si="3"/>
        <v>503422.37940381642</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3698.1086458026257</v>
      </c>
      <c r="D40" s="973">
        <f ca="1">tertiair!C20</f>
        <v>0</v>
      </c>
      <c r="E40" s="973">
        <f ca="1">tertiair!D20</f>
        <v>5156.8859162673234</v>
      </c>
      <c r="F40" s="973">
        <f>tertiair!E20</f>
        <v>84.19164015394216</v>
      </c>
      <c r="G40" s="973">
        <f ca="1">tertiair!F20</f>
        <v>923.87671630056491</v>
      </c>
      <c r="H40" s="973">
        <f>tertiair!G20</f>
        <v>0</v>
      </c>
      <c r="I40" s="973">
        <f>tertiair!H20</f>
        <v>0</v>
      </c>
      <c r="J40" s="973">
        <f>tertiair!I20</f>
        <v>0</v>
      </c>
      <c r="K40" s="973">
        <f>tertiair!J20</f>
        <v>1.3407127373490854E-2</v>
      </c>
      <c r="L40" s="973">
        <f>tertiair!K20</f>
        <v>0</v>
      </c>
      <c r="M40" s="973">
        <f ca="1">tertiair!L20</f>
        <v>0</v>
      </c>
      <c r="N40" s="973">
        <f>tertiair!M20</f>
        <v>0</v>
      </c>
      <c r="O40" s="973">
        <f ca="1">tertiair!N20</f>
        <v>0</v>
      </c>
      <c r="P40" s="973">
        <f>tertiair!O20</f>
        <v>0</v>
      </c>
      <c r="Q40" s="742">
        <f>tertiair!P20</f>
        <v>0</v>
      </c>
      <c r="R40" s="818">
        <f t="shared" ca="1" si="4"/>
        <v>9863.0763256518294</v>
      </c>
    </row>
    <row r="41" spans="1:18">
      <c r="A41" s="790" t="s">
        <v>219</v>
      </c>
      <c r="B41" s="797"/>
      <c r="C41" s="973">
        <f ca="1">huishoudens!B12</f>
        <v>6362.887872295797</v>
      </c>
      <c r="D41" s="973">
        <f ca="1">huishoudens!C12</f>
        <v>0</v>
      </c>
      <c r="E41" s="973">
        <f>huishoudens!D12</f>
        <v>18764.593404899701</v>
      </c>
      <c r="F41" s="973">
        <f>huishoudens!E12</f>
        <v>305.6235537810507</v>
      </c>
      <c r="G41" s="973">
        <f>huishoudens!F12</f>
        <v>9107.5592399745474</v>
      </c>
      <c r="H41" s="973">
        <f>huishoudens!G12</f>
        <v>0</v>
      </c>
      <c r="I41" s="973">
        <f>huishoudens!H12</f>
        <v>0</v>
      </c>
      <c r="J41" s="973">
        <f>huishoudens!I12</f>
        <v>0</v>
      </c>
      <c r="K41" s="973">
        <f>huishoudens!J12</f>
        <v>58.104463892343752</v>
      </c>
      <c r="L41" s="973">
        <f>huishoudens!K12</f>
        <v>0</v>
      </c>
      <c r="M41" s="973">
        <f>huishoudens!L12</f>
        <v>0</v>
      </c>
      <c r="N41" s="973">
        <f>huishoudens!M12</f>
        <v>0</v>
      </c>
      <c r="O41" s="973">
        <f>huishoudens!N12</f>
        <v>0</v>
      </c>
      <c r="P41" s="973">
        <f>huishoudens!O12</f>
        <v>0</v>
      </c>
      <c r="Q41" s="742">
        <f>huishoudens!P12</f>
        <v>0</v>
      </c>
      <c r="R41" s="818">
        <f t="shared" ca="1" si="4"/>
        <v>34598.768534843439</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12988.03270875909</v>
      </c>
      <c r="D43" s="973">
        <f ca="1">industrie!C22</f>
        <v>0</v>
      </c>
      <c r="E43" s="973">
        <f>industrie!D22</f>
        <v>9226.5575714161478</v>
      </c>
      <c r="F43" s="973">
        <f>industrie!E22</f>
        <v>755.30273620499304</v>
      </c>
      <c r="G43" s="973">
        <f>industrie!F22</f>
        <v>3543.7315923717497</v>
      </c>
      <c r="H43" s="973">
        <f>industrie!G22</f>
        <v>0</v>
      </c>
      <c r="I43" s="973">
        <f>industrie!H22</f>
        <v>0</v>
      </c>
      <c r="J43" s="973">
        <f>industrie!I22</f>
        <v>0</v>
      </c>
      <c r="K43" s="973">
        <f>industrie!J22</f>
        <v>51.259489729724763</v>
      </c>
      <c r="L43" s="973">
        <f>industrie!K22</f>
        <v>0</v>
      </c>
      <c r="M43" s="973">
        <f>industrie!L22</f>
        <v>0</v>
      </c>
      <c r="N43" s="973">
        <f>industrie!M22</f>
        <v>0</v>
      </c>
      <c r="O43" s="973">
        <f>industrie!N22</f>
        <v>0</v>
      </c>
      <c r="P43" s="973">
        <f>industrie!O22</f>
        <v>0</v>
      </c>
      <c r="Q43" s="742">
        <f>industrie!P22</f>
        <v>0</v>
      </c>
      <c r="R43" s="817">
        <f t="shared" ca="1" si="4"/>
        <v>26564.884098481707</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23049.029226857514</v>
      </c>
      <c r="D46" s="700">
        <f t="shared" ref="D46:Q46" ca="1" si="5">SUM(D39:D45)</f>
        <v>0</v>
      </c>
      <c r="E46" s="700">
        <f t="shared" ca="1" si="5"/>
        <v>33148.036892583172</v>
      </c>
      <c r="F46" s="700">
        <f t="shared" si="5"/>
        <v>1145.1179301399859</v>
      </c>
      <c r="G46" s="700">
        <f t="shared" ca="1" si="5"/>
        <v>13575.167548646863</v>
      </c>
      <c r="H46" s="700">
        <f t="shared" si="5"/>
        <v>0</v>
      </c>
      <c r="I46" s="700">
        <f t="shared" si="5"/>
        <v>0</v>
      </c>
      <c r="J46" s="700">
        <f t="shared" si="5"/>
        <v>0</v>
      </c>
      <c r="K46" s="700">
        <f t="shared" si="5"/>
        <v>109.377360749442</v>
      </c>
      <c r="L46" s="700">
        <f t="shared" si="5"/>
        <v>0</v>
      </c>
      <c r="M46" s="700">
        <f t="shared" ca="1" si="5"/>
        <v>0</v>
      </c>
      <c r="N46" s="700">
        <f t="shared" si="5"/>
        <v>0</v>
      </c>
      <c r="O46" s="700">
        <f t="shared" ca="1" si="5"/>
        <v>0</v>
      </c>
      <c r="P46" s="700">
        <f t="shared" si="5"/>
        <v>0</v>
      </c>
      <c r="Q46" s="700">
        <f t="shared" si="5"/>
        <v>0</v>
      </c>
      <c r="R46" s="700">
        <f ca="1">SUM(R39:R45)</f>
        <v>71026.728958976979</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0.47543786184247749</v>
      </c>
      <c r="D49" s="973">
        <f ca="1">transport!C58</f>
        <v>0</v>
      </c>
      <c r="E49" s="973">
        <f>transport!D58</f>
        <v>0</v>
      </c>
      <c r="F49" s="973">
        <f>transport!E58</f>
        <v>0</v>
      </c>
      <c r="G49" s="973">
        <f>transport!F58</f>
        <v>0</v>
      </c>
      <c r="H49" s="973">
        <f>transport!G58</f>
        <v>66.353783234303194</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66.829221096145673</v>
      </c>
    </row>
    <row r="50" spans="1:18">
      <c r="A50" s="793" t="s">
        <v>301</v>
      </c>
      <c r="B50" s="803"/>
      <c r="C50" s="671">
        <f ca="1">transport!B18</f>
        <v>12.161351090970131</v>
      </c>
      <c r="D50" s="671">
        <f>transport!C18</f>
        <v>0</v>
      </c>
      <c r="E50" s="671">
        <f>transport!D18</f>
        <v>22.769805702127872</v>
      </c>
      <c r="F50" s="671">
        <f>transport!E18</f>
        <v>46.930517291402786</v>
      </c>
      <c r="G50" s="671">
        <f>transport!F18</f>
        <v>0</v>
      </c>
      <c r="H50" s="671">
        <f>transport!G18</f>
        <v>25784.483669552406</v>
      </c>
      <c r="I50" s="671">
        <f>transport!H18</f>
        <v>4556.2244256365611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30422.569769273468</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12.636788952812608</v>
      </c>
      <c r="D52" s="700">
        <f t="shared" ref="D52:Q52" ca="1" si="6">SUM(D48:D51)</f>
        <v>0</v>
      </c>
      <c r="E52" s="700">
        <f t="shared" si="6"/>
        <v>22.769805702127872</v>
      </c>
      <c r="F52" s="700">
        <f t="shared" si="6"/>
        <v>46.930517291402786</v>
      </c>
      <c r="G52" s="700">
        <f t="shared" si="6"/>
        <v>0</v>
      </c>
      <c r="H52" s="700">
        <f t="shared" si="6"/>
        <v>25850.837452786709</v>
      </c>
      <c r="I52" s="700">
        <f t="shared" si="6"/>
        <v>4556.2244256365611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30489.398990369613</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283.83948577277346</v>
      </c>
      <c r="D54" s="671">
        <f ca="1">+landbouw!C12</f>
        <v>0</v>
      </c>
      <c r="E54" s="671">
        <f>+landbouw!D12</f>
        <v>145.40063159336884</v>
      </c>
      <c r="F54" s="671">
        <f>+landbouw!E12</f>
        <v>10.537877653412734</v>
      </c>
      <c r="G54" s="671">
        <f>+landbouw!F12</f>
        <v>1756.7399221655294</v>
      </c>
      <c r="H54" s="671">
        <f>+landbouw!G12</f>
        <v>0</v>
      </c>
      <c r="I54" s="671">
        <f>+landbouw!H12</f>
        <v>0</v>
      </c>
      <c r="J54" s="671">
        <f>+landbouw!I12</f>
        <v>0</v>
      </c>
      <c r="K54" s="671">
        <f>+landbouw!J12</f>
        <v>81.000901836868323</v>
      </c>
      <c r="L54" s="671">
        <f>+landbouw!K12</f>
        <v>0</v>
      </c>
      <c r="M54" s="671">
        <f>+landbouw!L12</f>
        <v>0</v>
      </c>
      <c r="N54" s="671">
        <f>+landbouw!M12</f>
        <v>0</v>
      </c>
      <c r="O54" s="671">
        <f>+landbouw!N12</f>
        <v>0</v>
      </c>
      <c r="P54" s="671">
        <f>+landbouw!O12</f>
        <v>0</v>
      </c>
      <c r="Q54" s="672">
        <f>+landbouw!P12</f>
        <v>0</v>
      </c>
      <c r="R54" s="699">
        <f ca="1">SUM(C54:Q54)</f>
        <v>2277.5188190219528</v>
      </c>
    </row>
    <row r="55" spans="1:18" ht="15" thickBot="1">
      <c r="A55" s="793" t="s">
        <v>808</v>
      </c>
      <c r="B55" s="803"/>
      <c r="C55" s="671">
        <f ca="1">C25*'EF ele_warmte'!B12</f>
        <v>456.65116996656764</v>
      </c>
      <c r="D55" s="671"/>
      <c r="E55" s="671">
        <f>E25*EF_CO2_aardgas</f>
        <v>470.0547513727966</v>
      </c>
      <c r="F55" s="671"/>
      <c r="G55" s="671"/>
      <c r="H55" s="671"/>
      <c r="I55" s="671"/>
      <c r="J55" s="671"/>
      <c r="K55" s="671"/>
      <c r="L55" s="671"/>
      <c r="M55" s="671"/>
      <c r="N55" s="671"/>
      <c r="O55" s="671"/>
      <c r="P55" s="671"/>
      <c r="Q55" s="672"/>
      <c r="R55" s="699">
        <f ca="1">SUM(C55:Q55)</f>
        <v>926.70592133936429</v>
      </c>
    </row>
    <row r="56" spans="1:18" ht="15.75" thickBot="1">
      <c r="A56" s="791" t="s">
        <v>809</v>
      </c>
      <c r="B56" s="804"/>
      <c r="C56" s="700">
        <f ca="1">SUM(C54:C55)</f>
        <v>740.49065573934104</v>
      </c>
      <c r="D56" s="700">
        <f t="shared" ref="D56:Q56" ca="1" si="7">SUM(D54:D55)</f>
        <v>0</v>
      </c>
      <c r="E56" s="700">
        <f t="shared" si="7"/>
        <v>615.45538296616542</v>
      </c>
      <c r="F56" s="700">
        <f t="shared" si="7"/>
        <v>10.537877653412734</v>
      </c>
      <c r="G56" s="700">
        <f t="shared" si="7"/>
        <v>1756.7399221655294</v>
      </c>
      <c r="H56" s="700">
        <f t="shared" si="7"/>
        <v>0</v>
      </c>
      <c r="I56" s="700">
        <f t="shared" si="7"/>
        <v>0</v>
      </c>
      <c r="J56" s="700">
        <f t="shared" si="7"/>
        <v>0</v>
      </c>
      <c r="K56" s="700">
        <f t="shared" si="7"/>
        <v>81.000901836868323</v>
      </c>
      <c r="L56" s="700">
        <f t="shared" si="7"/>
        <v>0</v>
      </c>
      <c r="M56" s="700">
        <f t="shared" si="7"/>
        <v>0</v>
      </c>
      <c r="N56" s="700">
        <f t="shared" si="7"/>
        <v>0</v>
      </c>
      <c r="O56" s="700">
        <f t="shared" si="7"/>
        <v>0</v>
      </c>
      <c r="P56" s="700">
        <f t="shared" si="7"/>
        <v>0</v>
      </c>
      <c r="Q56" s="701">
        <f t="shared" si="7"/>
        <v>0</v>
      </c>
      <c r="R56" s="702">
        <f ca="1">SUM(R54:R55)</f>
        <v>3204.2247403613173</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23802.156671549666</v>
      </c>
      <c r="D61" s="708">
        <f t="shared" ref="D61:Q61" ca="1" si="8">D46+D52+D56</f>
        <v>0</v>
      </c>
      <c r="E61" s="708">
        <f t="shared" ca="1" si="8"/>
        <v>33786.262081251465</v>
      </c>
      <c r="F61" s="708">
        <f t="shared" si="8"/>
        <v>1202.5863250848015</v>
      </c>
      <c r="G61" s="708">
        <f t="shared" ca="1" si="8"/>
        <v>15331.907470812392</v>
      </c>
      <c r="H61" s="708">
        <f t="shared" si="8"/>
        <v>25850.837452786709</v>
      </c>
      <c r="I61" s="708">
        <f t="shared" si="8"/>
        <v>4556.2244256365611</v>
      </c>
      <c r="J61" s="708">
        <f t="shared" si="8"/>
        <v>0</v>
      </c>
      <c r="K61" s="708">
        <f t="shared" si="8"/>
        <v>190.37826258631031</v>
      </c>
      <c r="L61" s="708">
        <f t="shared" si="8"/>
        <v>0</v>
      </c>
      <c r="M61" s="708">
        <f t="shared" ca="1" si="8"/>
        <v>0</v>
      </c>
      <c r="N61" s="708">
        <f t="shared" si="8"/>
        <v>0</v>
      </c>
      <c r="O61" s="708">
        <f t="shared" ca="1" si="8"/>
        <v>0</v>
      </c>
      <c r="P61" s="708">
        <f t="shared" si="8"/>
        <v>0</v>
      </c>
      <c r="Q61" s="708">
        <f t="shared" si="8"/>
        <v>0</v>
      </c>
      <c r="R61" s="708">
        <f ca="1">R46+R52+R56</f>
        <v>104720.3526897079</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0.17971744439575107</v>
      </c>
      <c r="D63" s="749">
        <f t="shared" ca="1" si="9"/>
        <v>0</v>
      </c>
      <c r="E63" s="984">
        <f t="shared" ca="1" si="9"/>
        <v>0.20199999999999999</v>
      </c>
      <c r="F63" s="749">
        <f t="shared" si="9"/>
        <v>0.22700000000000006</v>
      </c>
      <c r="G63" s="749">
        <f t="shared" ca="1" si="9"/>
        <v>0.26700000000000002</v>
      </c>
      <c r="H63" s="749">
        <f t="shared" si="9"/>
        <v>0.26700000000000002</v>
      </c>
      <c r="I63" s="749">
        <f t="shared" si="9"/>
        <v>0.249</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18516.317346487296</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6223.7214364322554</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24740.038782919553</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35404.954113882501</v>
      </c>
      <c r="C4" s="445">
        <f>huishoudens!C8</f>
        <v>0</v>
      </c>
      <c r="D4" s="445">
        <f>huishoudens!D8</f>
        <v>92894.026756929205</v>
      </c>
      <c r="E4" s="445">
        <f>huishoudens!E8</f>
        <v>1346.3592677579325</v>
      </c>
      <c r="F4" s="445">
        <f>huishoudens!F8</f>
        <v>34110.708763949617</v>
      </c>
      <c r="G4" s="445">
        <f>huishoudens!G8</f>
        <v>0</v>
      </c>
      <c r="H4" s="445">
        <f>huishoudens!H8</f>
        <v>0</v>
      </c>
      <c r="I4" s="445">
        <f>huishoudens!I8</f>
        <v>0</v>
      </c>
      <c r="J4" s="445">
        <f>huishoudens!J8</f>
        <v>164.13690365068857</v>
      </c>
      <c r="K4" s="445">
        <f>huishoudens!K8</f>
        <v>0</v>
      </c>
      <c r="L4" s="445">
        <f>huishoudens!L8</f>
        <v>0</v>
      </c>
      <c r="M4" s="445">
        <f>huishoudens!M8</f>
        <v>0</v>
      </c>
      <c r="N4" s="445">
        <f>huishoudens!N8</f>
        <v>11689.231419549604</v>
      </c>
      <c r="O4" s="445">
        <f>huishoudens!O8</f>
        <v>221.99333333333334</v>
      </c>
      <c r="P4" s="446">
        <f>huishoudens!P8</f>
        <v>648.26666666666665</v>
      </c>
      <c r="Q4" s="447">
        <f>SUM(B4:P4)</f>
        <v>176479.67722571956</v>
      </c>
    </row>
    <row r="5" spans="1:17">
      <c r="A5" s="444" t="s">
        <v>155</v>
      </c>
      <c r="B5" s="445">
        <f ca="1">tertiair!B16</f>
        <v>19211.588395527335</v>
      </c>
      <c r="C5" s="445">
        <f ca="1">tertiair!C16</f>
        <v>0</v>
      </c>
      <c r="D5" s="445">
        <f ca="1">tertiair!D16</f>
        <v>25529.138199343182</v>
      </c>
      <c r="E5" s="445">
        <f>tertiair!E16</f>
        <v>370.8882826164853</v>
      </c>
      <c r="F5" s="445">
        <f ca="1">tertiair!F16</f>
        <v>3460.2124206013664</v>
      </c>
      <c r="G5" s="445">
        <f>tertiair!G16</f>
        <v>0</v>
      </c>
      <c r="H5" s="445">
        <f>tertiair!H16</f>
        <v>0</v>
      </c>
      <c r="I5" s="445">
        <f>tertiair!I16</f>
        <v>0</v>
      </c>
      <c r="J5" s="445">
        <f>tertiair!J16</f>
        <v>3.7873241168053261E-2</v>
      </c>
      <c r="K5" s="445">
        <f>tertiair!K16</f>
        <v>0</v>
      </c>
      <c r="L5" s="445">
        <f ca="1">tertiair!L16</f>
        <v>0</v>
      </c>
      <c r="M5" s="445">
        <f>tertiair!M16</f>
        <v>0</v>
      </c>
      <c r="N5" s="445">
        <f ca="1">tertiair!N16</f>
        <v>1514.1122973055067</v>
      </c>
      <c r="O5" s="445">
        <f>tertiair!O16</f>
        <v>6.2533333333333339</v>
      </c>
      <c r="P5" s="446">
        <f>tertiair!P16</f>
        <v>38.133333333333333</v>
      </c>
      <c r="Q5" s="444">
        <f t="shared" ref="Q5:Q14" ca="1" si="0">SUM(B5:P5)</f>
        <v>50130.364135301716</v>
      </c>
    </row>
    <row r="6" spans="1:17">
      <c r="A6" s="444" t="s">
        <v>193</v>
      </c>
      <c r="B6" s="445">
        <f>'openbare verlichting'!B8</f>
        <v>1365.761</v>
      </c>
      <c r="C6" s="445"/>
      <c r="D6" s="445"/>
      <c r="E6" s="445"/>
      <c r="F6" s="445"/>
      <c r="G6" s="445"/>
      <c r="H6" s="445"/>
      <c r="I6" s="445"/>
      <c r="J6" s="445"/>
      <c r="K6" s="445"/>
      <c r="L6" s="445"/>
      <c r="M6" s="445"/>
      <c r="N6" s="445"/>
      <c r="O6" s="445"/>
      <c r="P6" s="446"/>
      <c r="Q6" s="444">
        <f t="shared" si="0"/>
        <v>1365.761</v>
      </c>
    </row>
    <row r="7" spans="1:17">
      <c r="A7" s="444" t="s">
        <v>111</v>
      </c>
      <c r="B7" s="445">
        <f>landbouw!B8</f>
        <v>1579.3652459676534</v>
      </c>
      <c r="C7" s="445">
        <f>landbouw!C8</f>
        <v>0</v>
      </c>
      <c r="D7" s="445">
        <f>landbouw!D8</f>
        <v>719.80510689786547</v>
      </c>
      <c r="E7" s="445">
        <f>landbouw!E8</f>
        <v>46.422368517236713</v>
      </c>
      <c r="F7" s="445">
        <f>landbouw!F8</f>
        <v>6579.5502702828808</v>
      </c>
      <c r="G7" s="445">
        <f>landbouw!G8</f>
        <v>0</v>
      </c>
      <c r="H7" s="445">
        <f>landbouw!H8</f>
        <v>0</v>
      </c>
      <c r="I7" s="445">
        <f>landbouw!I8</f>
        <v>0</v>
      </c>
      <c r="J7" s="445">
        <f>landbouw!J8</f>
        <v>228.81610688380883</v>
      </c>
      <c r="K7" s="445">
        <f>landbouw!K8</f>
        <v>0</v>
      </c>
      <c r="L7" s="445">
        <f>landbouw!L8</f>
        <v>0</v>
      </c>
      <c r="M7" s="445">
        <f>landbouw!M8</f>
        <v>0</v>
      </c>
      <c r="N7" s="445">
        <f>landbouw!N8</f>
        <v>0</v>
      </c>
      <c r="O7" s="445">
        <f>landbouw!O8</f>
        <v>0</v>
      </c>
      <c r="P7" s="446">
        <f>landbouw!P8</f>
        <v>0</v>
      </c>
      <c r="Q7" s="444">
        <f t="shared" si="0"/>
        <v>9153.9590985494451</v>
      </c>
    </row>
    <row r="8" spans="1:17">
      <c r="A8" s="444" t="s">
        <v>627</v>
      </c>
      <c r="B8" s="445">
        <f>industrie!B18</f>
        <v>72269.182062028907</v>
      </c>
      <c r="C8" s="445">
        <f>industrie!C18</f>
        <v>0</v>
      </c>
      <c r="D8" s="445">
        <f>industrie!D18</f>
        <v>45676.027581268056</v>
      </c>
      <c r="E8" s="445">
        <f>industrie!E18</f>
        <v>3327.3248290968854</v>
      </c>
      <c r="F8" s="445">
        <f>industrie!F18</f>
        <v>13272.402967684455</v>
      </c>
      <c r="G8" s="445">
        <f>industrie!G18</f>
        <v>0</v>
      </c>
      <c r="H8" s="445">
        <f>industrie!H18</f>
        <v>0</v>
      </c>
      <c r="I8" s="445">
        <f>industrie!I18</f>
        <v>0</v>
      </c>
      <c r="J8" s="445">
        <f>industrie!J18</f>
        <v>144.80081844555019</v>
      </c>
      <c r="K8" s="445">
        <f>industrie!K18</f>
        <v>0</v>
      </c>
      <c r="L8" s="445">
        <f>industrie!L18</f>
        <v>0</v>
      </c>
      <c r="M8" s="445">
        <f>industrie!M18</f>
        <v>0</v>
      </c>
      <c r="N8" s="445">
        <f>industrie!N18</f>
        <v>5032.2343652427007</v>
      </c>
      <c r="O8" s="445">
        <f>industrie!O18</f>
        <v>0</v>
      </c>
      <c r="P8" s="446">
        <f>industrie!P18</f>
        <v>0</v>
      </c>
      <c r="Q8" s="444">
        <f t="shared" si="0"/>
        <v>139721.97262376655</v>
      </c>
    </row>
    <row r="9" spans="1:17" s="450" customFormat="1">
      <c r="A9" s="448" t="s">
        <v>553</v>
      </c>
      <c r="B9" s="449">
        <f>transport!B14</f>
        <v>67.669285704897618</v>
      </c>
      <c r="C9" s="449">
        <f>transport!C14</f>
        <v>0</v>
      </c>
      <c r="D9" s="449">
        <f>transport!D14</f>
        <v>112.72181040657361</v>
      </c>
      <c r="E9" s="449">
        <f>transport!E14</f>
        <v>206.74236692247922</v>
      </c>
      <c r="F9" s="449">
        <f>transport!F14</f>
        <v>0</v>
      </c>
      <c r="G9" s="449">
        <f>transport!G14</f>
        <v>96571.099885964068</v>
      </c>
      <c r="H9" s="449">
        <f>transport!H14</f>
        <v>18298.090062797433</v>
      </c>
      <c r="I9" s="449">
        <f>transport!I14</f>
        <v>0</v>
      </c>
      <c r="J9" s="449">
        <f>transport!J14</f>
        <v>0</v>
      </c>
      <c r="K9" s="449">
        <f>transport!K14</f>
        <v>0</v>
      </c>
      <c r="L9" s="449">
        <f>transport!L14</f>
        <v>0</v>
      </c>
      <c r="M9" s="449">
        <f>transport!M14</f>
        <v>6180.9057873398015</v>
      </c>
      <c r="N9" s="449">
        <f>transport!N14</f>
        <v>0</v>
      </c>
      <c r="O9" s="449">
        <f>transport!O14</f>
        <v>0</v>
      </c>
      <c r="P9" s="449">
        <f>transport!P14</f>
        <v>0</v>
      </c>
      <c r="Q9" s="448">
        <f>SUM(B9:P9)</f>
        <v>121437.22919913525</v>
      </c>
    </row>
    <row r="10" spans="1:17">
      <c r="A10" s="444" t="s">
        <v>543</v>
      </c>
      <c r="B10" s="445">
        <f>transport!B54</f>
        <v>2.6454741966813651</v>
      </c>
      <c r="C10" s="445">
        <f>transport!C54</f>
        <v>0</v>
      </c>
      <c r="D10" s="445">
        <f>transport!D54</f>
        <v>0</v>
      </c>
      <c r="E10" s="445">
        <f>transport!E54</f>
        <v>0</v>
      </c>
      <c r="F10" s="445">
        <f>transport!F54</f>
        <v>0</v>
      </c>
      <c r="G10" s="445">
        <f>transport!G54</f>
        <v>248.51604207604191</v>
      </c>
      <c r="H10" s="445">
        <f>transport!H54</f>
        <v>0</v>
      </c>
      <c r="I10" s="445">
        <f>transport!I54</f>
        <v>0</v>
      </c>
      <c r="J10" s="445">
        <f>transport!J54</f>
        <v>0</v>
      </c>
      <c r="K10" s="445">
        <f>transport!K54</f>
        <v>0</v>
      </c>
      <c r="L10" s="445">
        <f>transport!L54</f>
        <v>0</v>
      </c>
      <c r="M10" s="445">
        <f>transport!M54</f>
        <v>14.31129268976021</v>
      </c>
      <c r="N10" s="445">
        <f>transport!N54</f>
        <v>0</v>
      </c>
      <c r="O10" s="445">
        <f>transport!O54</f>
        <v>0</v>
      </c>
      <c r="P10" s="446">
        <f>transport!P54</f>
        <v>0</v>
      </c>
      <c r="Q10" s="444">
        <f t="shared" si="0"/>
        <v>265.4728089624835</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2540.93959271415</v>
      </c>
      <c r="C14" s="452"/>
      <c r="D14" s="452">
        <f>'SEAP template'!E25</f>
        <v>2327.0037196673097</v>
      </c>
      <c r="E14" s="452"/>
      <c r="F14" s="452"/>
      <c r="G14" s="452"/>
      <c r="H14" s="452"/>
      <c r="I14" s="452"/>
      <c r="J14" s="452"/>
      <c r="K14" s="452"/>
      <c r="L14" s="452"/>
      <c r="M14" s="452"/>
      <c r="N14" s="452"/>
      <c r="O14" s="452"/>
      <c r="P14" s="453"/>
      <c r="Q14" s="444">
        <f t="shared" si="0"/>
        <v>4867.9433123814597</v>
      </c>
    </row>
    <row r="15" spans="1:17" s="454" customFormat="1">
      <c r="A15" s="999" t="s">
        <v>547</v>
      </c>
      <c r="B15" s="947">
        <f ca="1">SUM(B4:B14)</f>
        <v>132442.10517002211</v>
      </c>
      <c r="C15" s="947">
        <f t="shared" ref="C15:Q15" ca="1" si="1">SUM(C4:C14)</f>
        <v>0</v>
      </c>
      <c r="D15" s="947">
        <f t="shared" ca="1" si="1"/>
        <v>167258.72317451221</v>
      </c>
      <c r="E15" s="947">
        <f t="shared" si="1"/>
        <v>5297.7371149110186</v>
      </c>
      <c r="F15" s="947">
        <f t="shared" ca="1" si="1"/>
        <v>57422.874422518318</v>
      </c>
      <c r="G15" s="947">
        <f t="shared" si="1"/>
        <v>96819.615928040104</v>
      </c>
      <c r="H15" s="947">
        <f t="shared" si="1"/>
        <v>18298.090062797433</v>
      </c>
      <c r="I15" s="947">
        <f t="shared" si="1"/>
        <v>0</v>
      </c>
      <c r="J15" s="947">
        <f t="shared" si="1"/>
        <v>537.7917022212157</v>
      </c>
      <c r="K15" s="947">
        <f t="shared" si="1"/>
        <v>0</v>
      </c>
      <c r="L15" s="947">
        <f t="shared" ca="1" si="1"/>
        <v>0</v>
      </c>
      <c r="M15" s="947">
        <f t="shared" si="1"/>
        <v>6195.2170800295617</v>
      </c>
      <c r="N15" s="947">
        <f t="shared" ca="1" si="1"/>
        <v>18235.578082097811</v>
      </c>
      <c r="O15" s="947">
        <f t="shared" si="1"/>
        <v>228.24666666666667</v>
      </c>
      <c r="P15" s="947">
        <f t="shared" si="1"/>
        <v>686.4</v>
      </c>
      <c r="Q15" s="947">
        <f t="shared" ca="1" si="1"/>
        <v>503422.37940381642</v>
      </c>
    </row>
    <row r="17" spans="1:17">
      <c r="A17" s="455" t="s">
        <v>548</v>
      </c>
      <c r="B17" s="754">
        <f ca="1">huishoudens!B10</f>
        <v>0.17971744439575107</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6362.887872295797</v>
      </c>
      <c r="C22" s="445">
        <f t="shared" ref="C22:C32" ca="1" si="3">C4*$C$17</f>
        <v>0</v>
      </c>
      <c r="D22" s="445">
        <f t="shared" ref="D22:D32" si="4">D4*$D$17</f>
        <v>18764.593404899701</v>
      </c>
      <c r="E22" s="445">
        <f t="shared" ref="E22:E32" si="5">E4*$E$17</f>
        <v>305.6235537810507</v>
      </c>
      <c r="F22" s="445">
        <f t="shared" ref="F22:F32" si="6">F4*$F$17</f>
        <v>9107.5592399745474</v>
      </c>
      <c r="G22" s="445">
        <f t="shared" ref="G22:G32" si="7">G4*$G$17</f>
        <v>0</v>
      </c>
      <c r="H22" s="445">
        <f t="shared" ref="H22:H32" si="8">H4*$H$17</f>
        <v>0</v>
      </c>
      <c r="I22" s="445">
        <f t="shared" ref="I22:I32" si="9">I4*$I$17</f>
        <v>0</v>
      </c>
      <c r="J22" s="445">
        <f t="shared" ref="J22:J32" si="10">J4*$J$17</f>
        <v>58.104463892343752</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34598.768534843439</v>
      </c>
    </row>
    <row r="23" spans="1:17">
      <c r="A23" s="444" t="s">
        <v>155</v>
      </c>
      <c r="B23" s="445">
        <f t="shared" ca="1" si="2"/>
        <v>3452.6575692272404</v>
      </c>
      <c r="C23" s="445">
        <f t="shared" ca="1" si="3"/>
        <v>0</v>
      </c>
      <c r="D23" s="445">
        <f t="shared" ca="1" si="4"/>
        <v>5156.8859162673234</v>
      </c>
      <c r="E23" s="445">
        <f t="shared" si="5"/>
        <v>84.19164015394216</v>
      </c>
      <c r="F23" s="445">
        <f t="shared" ca="1" si="6"/>
        <v>923.87671630056491</v>
      </c>
      <c r="G23" s="445">
        <f t="shared" si="7"/>
        <v>0</v>
      </c>
      <c r="H23" s="445">
        <f t="shared" si="8"/>
        <v>0</v>
      </c>
      <c r="I23" s="445">
        <f t="shared" si="9"/>
        <v>0</v>
      </c>
      <c r="J23" s="445">
        <f t="shared" si="10"/>
        <v>1.3407127373490854E-2</v>
      </c>
      <c r="K23" s="445">
        <f t="shared" si="11"/>
        <v>0</v>
      </c>
      <c r="L23" s="445">
        <f t="shared" ca="1" si="12"/>
        <v>0</v>
      </c>
      <c r="M23" s="445">
        <f t="shared" si="13"/>
        <v>0</v>
      </c>
      <c r="N23" s="445">
        <f t="shared" ca="1" si="14"/>
        <v>0</v>
      </c>
      <c r="O23" s="445">
        <f t="shared" si="15"/>
        <v>0</v>
      </c>
      <c r="P23" s="446">
        <f t="shared" si="16"/>
        <v>0</v>
      </c>
      <c r="Q23" s="444">
        <f t="shared" ref="Q23:Q32" ca="1" si="17">SUM(B23:P23)</f>
        <v>9617.6252490764437</v>
      </c>
    </row>
    <row r="24" spans="1:17">
      <c r="A24" s="444" t="s">
        <v>193</v>
      </c>
      <c r="B24" s="445">
        <f t="shared" ca="1" si="2"/>
        <v>245.45107657538537</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245.45107657538537</v>
      </c>
    </row>
    <row r="25" spans="1:17">
      <c r="A25" s="444" t="s">
        <v>111</v>
      </c>
      <c r="B25" s="445">
        <f t="shared" ca="1" si="2"/>
        <v>283.83948577277346</v>
      </c>
      <c r="C25" s="445">
        <f t="shared" ca="1" si="3"/>
        <v>0</v>
      </c>
      <c r="D25" s="445">
        <f t="shared" si="4"/>
        <v>145.40063159336884</v>
      </c>
      <c r="E25" s="445">
        <f t="shared" si="5"/>
        <v>10.537877653412734</v>
      </c>
      <c r="F25" s="445">
        <f t="shared" si="6"/>
        <v>1756.7399221655294</v>
      </c>
      <c r="G25" s="445">
        <f t="shared" si="7"/>
        <v>0</v>
      </c>
      <c r="H25" s="445">
        <f t="shared" si="8"/>
        <v>0</v>
      </c>
      <c r="I25" s="445">
        <f t="shared" si="9"/>
        <v>0</v>
      </c>
      <c r="J25" s="445">
        <f t="shared" si="10"/>
        <v>81.000901836868323</v>
      </c>
      <c r="K25" s="445">
        <f t="shared" si="11"/>
        <v>0</v>
      </c>
      <c r="L25" s="445">
        <f t="shared" si="12"/>
        <v>0</v>
      </c>
      <c r="M25" s="445">
        <f t="shared" si="13"/>
        <v>0</v>
      </c>
      <c r="N25" s="445">
        <f t="shared" si="14"/>
        <v>0</v>
      </c>
      <c r="O25" s="445">
        <f t="shared" si="15"/>
        <v>0</v>
      </c>
      <c r="P25" s="446">
        <f t="shared" si="16"/>
        <v>0</v>
      </c>
      <c r="Q25" s="444">
        <f t="shared" ca="1" si="17"/>
        <v>2277.5188190219528</v>
      </c>
    </row>
    <row r="26" spans="1:17">
      <c r="A26" s="444" t="s">
        <v>627</v>
      </c>
      <c r="B26" s="445">
        <f t="shared" ca="1" si="2"/>
        <v>12988.03270875909</v>
      </c>
      <c r="C26" s="445">
        <f t="shared" ca="1" si="3"/>
        <v>0</v>
      </c>
      <c r="D26" s="445">
        <f t="shared" si="4"/>
        <v>9226.5575714161478</v>
      </c>
      <c r="E26" s="445">
        <f t="shared" si="5"/>
        <v>755.30273620499304</v>
      </c>
      <c r="F26" s="445">
        <f t="shared" si="6"/>
        <v>3543.7315923717497</v>
      </c>
      <c r="G26" s="445">
        <f t="shared" si="7"/>
        <v>0</v>
      </c>
      <c r="H26" s="445">
        <f t="shared" si="8"/>
        <v>0</v>
      </c>
      <c r="I26" s="445">
        <f t="shared" si="9"/>
        <v>0</v>
      </c>
      <c r="J26" s="445">
        <f t="shared" si="10"/>
        <v>51.259489729724763</v>
      </c>
      <c r="K26" s="445">
        <f t="shared" si="11"/>
        <v>0</v>
      </c>
      <c r="L26" s="445">
        <f t="shared" si="12"/>
        <v>0</v>
      </c>
      <c r="M26" s="445">
        <f t="shared" si="13"/>
        <v>0</v>
      </c>
      <c r="N26" s="445">
        <f t="shared" si="14"/>
        <v>0</v>
      </c>
      <c r="O26" s="445">
        <f t="shared" si="15"/>
        <v>0</v>
      </c>
      <c r="P26" s="446">
        <f t="shared" si="16"/>
        <v>0</v>
      </c>
      <c r="Q26" s="444">
        <f t="shared" ca="1" si="17"/>
        <v>26564.884098481707</v>
      </c>
    </row>
    <row r="27" spans="1:17" s="450" customFormat="1">
      <c r="A27" s="448" t="s">
        <v>553</v>
      </c>
      <c r="B27" s="748">
        <f t="shared" ca="1" si="2"/>
        <v>12.161351090970131</v>
      </c>
      <c r="C27" s="449">
        <f t="shared" ca="1" si="3"/>
        <v>0</v>
      </c>
      <c r="D27" s="449">
        <f t="shared" si="4"/>
        <v>22.769805702127872</v>
      </c>
      <c r="E27" s="449">
        <f t="shared" si="5"/>
        <v>46.930517291402786</v>
      </c>
      <c r="F27" s="449">
        <f t="shared" si="6"/>
        <v>0</v>
      </c>
      <c r="G27" s="449">
        <f t="shared" si="7"/>
        <v>25784.483669552406</v>
      </c>
      <c r="H27" s="449">
        <f t="shared" si="8"/>
        <v>4556.2244256365611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30422.569769273468</v>
      </c>
    </row>
    <row r="28" spans="1:17">
      <c r="A28" s="444" t="s">
        <v>543</v>
      </c>
      <c r="B28" s="445">
        <f t="shared" ca="1" si="2"/>
        <v>0.47543786184247749</v>
      </c>
      <c r="C28" s="445">
        <f t="shared" ca="1" si="3"/>
        <v>0</v>
      </c>
      <c r="D28" s="445">
        <f t="shared" si="4"/>
        <v>0</v>
      </c>
      <c r="E28" s="445">
        <f t="shared" si="5"/>
        <v>0</v>
      </c>
      <c r="F28" s="445">
        <f t="shared" si="6"/>
        <v>0</v>
      </c>
      <c r="G28" s="445">
        <f t="shared" si="7"/>
        <v>66.353783234303194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66.829221096145673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456.65116996656764</v>
      </c>
      <c r="C32" s="445">
        <f t="shared" ca="1" si="3"/>
        <v>0</v>
      </c>
      <c r="D32" s="445">
        <f t="shared" si="4"/>
        <v>470.0547513727966</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926.70592133936429</v>
      </c>
    </row>
    <row r="33" spans="1:17" s="454" customFormat="1">
      <c r="A33" s="999" t="s">
        <v>547</v>
      </c>
      <c r="B33" s="947">
        <f ca="1">SUM(B22:B32)</f>
        <v>23802.156671549666</v>
      </c>
      <c r="C33" s="947">
        <f t="shared" ref="C33:Q33" ca="1" si="18">SUM(C22:C32)</f>
        <v>0</v>
      </c>
      <c r="D33" s="947">
        <f t="shared" ca="1" si="18"/>
        <v>33786.262081251465</v>
      </c>
      <c r="E33" s="947">
        <f t="shared" si="18"/>
        <v>1202.5863250848015</v>
      </c>
      <c r="F33" s="947">
        <f t="shared" ca="1" si="18"/>
        <v>15331.907470812392</v>
      </c>
      <c r="G33" s="947">
        <f t="shared" si="18"/>
        <v>25850.837452786709</v>
      </c>
      <c r="H33" s="947">
        <f t="shared" si="18"/>
        <v>4556.2244256365611</v>
      </c>
      <c r="I33" s="947">
        <f t="shared" si="18"/>
        <v>0</v>
      </c>
      <c r="J33" s="947">
        <f t="shared" si="18"/>
        <v>190.37826258631031</v>
      </c>
      <c r="K33" s="947">
        <f t="shared" si="18"/>
        <v>0</v>
      </c>
      <c r="L33" s="947">
        <f t="shared" ca="1" si="18"/>
        <v>0</v>
      </c>
      <c r="M33" s="947">
        <f t="shared" si="18"/>
        <v>0</v>
      </c>
      <c r="N33" s="947">
        <f t="shared" ca="1" si="18"/>
        <v>0</v>
      </c>
      <c r="O33" s="947">
        <f t="shared" si="18"/>
        <v>0</v>
      </c>
      <c r="P33" s="947">
        <f t="shared" si="18"/>
        <v>0</v>
      </c>
      <c r="Q33" s="947">
        <f t="shared" ca="1" si="18"/>
        <v>104720.35268970793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18516.317346487296</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6223.7214364322554</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24740.038782919553</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0.17971744439575107</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0.17971744439575107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0.17971744439575107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0.17971744439575107</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8289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1965.34</v>
      </c>
      <c r="C14" s="324"/>
      <c r="D14" s="324"/>
      <c r="E14" s="324"/>
      <c r="F14" s="324"/>
    </row>
    <row r="15" spans="1:6">
      <c r="A15" s="1291" t="s">
        <v>183</v>
      </c>
      <c r="B15" s="1292">
        <v>40</v>
      </c>
      <c r="C15" s="324"/>
      <c r="D15" s="324"/>
      <c r="E15" s="324"/>
      <c r="F15" s="324"/>
    </row>
    <row r="16" spans="1:6">
      <c r="A16" s="1291" t="s">
        <v>6</v>
      </c>
      <c r="B16" s="1292">
        <v>1439</v>
      </c>
      <c r="C16" s="324"/>
      <c r="D16" s="324"/>
      <c r="E16" s="324"/>
      <c r="F16" s="324"/>
    </row>
    <row r="17" spans="1:6">
      <c r="A17" s="1291" t="s">
        <v>7</v>
      </c>
      <c r="B17" s="1292">
        <v>871</v>
      </c>
      <c r="C17" s="324"/>
      <c r="D17" s="324"/>
      <c r="E17" s="324"/>
      <c r="F17" s="324"/>
    </row>
    <row r="18" spans="1:6">
      <c r="A18" s="1291" t="s">
        <v>8</v>
      </c>
      <c r="B18" s="1292">
        <v>1412</v>
      </c>
      <c r="C18" s="324"/>
      <c r="D18" s="324"/>
      <c r="E18" s="324"/>
      <c r="F18" s="324"/>
    </row>
    <row r="19" spans="1:6">
      <c r="A19" s="1291" t="s">
        <v>9</v>
      </c>
      <c r="B19" s="1292">
        <v>1398</v>
      </c>
      <c r="C19" s="324"/>
      <c r="D19" s="324"/>
      <c r="E19" s="324"/>
      <c r="F19" s="324"/>
    </row>
    <row r="20" spans="1:6">
      <c r="A20" s="1291" t="s">
        <v>10</v>
      </c>
      <c r="B20" s="1292">
        <v>1420</v>
      </c>
      <c r="C20" s="324"/>
      <c r="D20" s="324"/>
      <c r="E20" s="324"/>
      <c r="F20" s="324"/>
    </row>
    <row r="21" spans="1:6">
      <c r="A21" s="1291" t="s">
        <v>11</v>
      </c>
      <c r="B21" s="1292">
        <v>2566</v>
      </c>
      <c r="C21" s="324"/>
      <c r="D21" s="324"/>
      <c r="E21" s="324"/>
      <c r="F21" s="324"/>
    </row>
    <row r="22" spans="1:6">
      <c r="A22" s="1291" t="s">
        <v>12</v>
      </c>
      <c r="B22" s="1292">
        <v>5146</v>
      </c>
      <c r="C22" s="324"/>
      <c r="D22" s="324"/>
      <c r="E22" s="324"/>
      <c r="F22" s="324"/>
    </row>
    <row r="23" spans="1:6">
      <c r="A23" s="1291" t="s">
        <v>13</v>
      </c>
      <c r="B23" s="1292">
        <v>47</v>
      </c>
      <c r="C23" s="324"/>
      <c r="D23" s="324"/>
      <c r="E23" s="324"/>
      <c r="F23" s="324"/>
    </row>
    <row r="24" spans="1:6">
      <c r="A24" s="1291" t="s">
        <v>14</v>
      </c>
      <c r="B24" s="1292">
        <v>4</v>
      </c>
      <c r="C24" s="324"/>
      <c r="D24" s="324"/>
      <c r="E24" s="324"/>
      <c r="F24" s="324"/>
    </row>
    <row r="25" spans="1:6">
      <c r="A25" s="1291" t="s">
        <v>15</v>
      </c>
      <c r="B25" s="1292">
        <v>627</v>
      </c>
      <c r="C25" s="324"/>
      <c r="D25" s="324"/>
      <c r="E25" s="324"/>
      <c r="F25" s="324"/>
    </row>
    <row r="26" spans="1:6">
      <c r="A26" s="1291" t="s">
        <v>16</v>
      </c>
      <c r="B26" s="1292">
        <v>50</v>
      </c>
      <c r="C26" s="324"/>
      <c r="D26" s="324"/>
      <c r="E26" s="324"/>
      <c r="F26" s="324"/>
    </row>
    <row r="27" spans="1:6">
      <c r="A27" s="1291" t="s">
        <v>17</v>
      </c>
      <c r="B27" s="1292">
        <v>253</v>
      </c>
      <c r="C27" s="324"/>
      <c r="D27" s="324"/>
      <c r="E27" s="324"/>
      <c r="F27" s="324"/>
    </row>
    <row r="28" spans="1:6" s="43" customFormat="1">
      <c r="A28" s="1293" t="s">
        <v>18</v>
      </c>
      <c r="B28" s="1294">
        <v>147330</v>
      </c>
      <c r="C28" s="330"/>
      <c r="D28" s="330"/>
      <c r="E28" s="330"/>
      <c r="F28" s="330"/>
    </row>
    <row r="29" spans="1:6">
      <c r="A29" s="1293" t="s">
        <v>722</v>
      </c>
      <c r="B29" s="1294">
        <v>105</v>
      </c>
      <c r="C29" s="330"/>
      <c r="D29" s="330"/>
      <c r="E29" s="330"/>
      <c r="F29" s="330"/>
    </row>
    <row r="30" spans="1:6">
      <c r="A30" s="1286" t="s">
        <v>723</v>
      </c>
      <c r="B30" s="1295">
        <v>40</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6547.8743650859997</v>
      </c>
    </row>
    <row r="37" spans="1:6">
      <c r="A37" s="1291" t="s">
        <v>24</v>
      </c>
      <c r="B37" s="1291" t="s">
        <v>27</v>
      </c>
      <c r="C37" s="1292">
        <v>0</v>
      </c>
      <c r="D37" s="1292">
        <v>0</v>
      </c>
      <c r="E37" s="1292">
        <v>0</v>
      </c>
      <c r="F37" s="1292">
        <v>0</v>
      </c>
    </row>
    <row r="38" spans="1:6">
      <c r="A38" s="1291" t="s">
        <v>24</v>
      </c>
      <c r="B38" s="1291" t="s">
        <v>28</v>
      </c>
      <c r="C38" s="1292">
        <v>0</v>
      </c>
      <c r="D38" s="1292">
        <v>0</v>
      </c>
      <c r="E38" s="1292">
        <v>4</v>
      </c>
      <c r="F38" s="1292">
        <v>42530.27719647</v>
      </c>
    </row>
    <row r="39" spans="1:6">
      <c r="A39" s="1291" t="s">
        <v>29</v>
      </c>
      <c r="B39" s="1291" t="s">
        <v>30</v>
      </c>
      <c r="C39" s="1292">
        <v>6253</v>
      </c>
      <c r="D39" s="1292">
        <v>102986725.8946</v>
      </c>
      <c r="E39" s="1292">
        <v>8210</v>
      </c>
      <c r="F39" s="1292">
        <v>31963687.0719418</v>
      </c>
    </row>
    <row r="40" spans="1:6">
      <c r="A40" s="1291" t="s">
        <v>29</v>
      </c>
      <c r="B40" s="1291" t="s">
        <v>28</v>
      </c>
      <c r="C40" s="1292">
        <v>0</v>
      </c>
      <c r="D40" s="1292">
        <v>0</v>
      </c>
      <c r="E40" s="1292">
        <v>0</v>
      </c>
      <c r="F40" s="1292">
        <v>0</v>
      </c>
    </row>
    <row r="41" spans="1:6">
      <c r="A41" s="1291" t="s">
        <v>31</v>
      </c>
      <c r="B41" s="1291" t="s">
        <v>32</v>
      </c>
      <c r="C41" s="1292">
        <v>112</v>
      </c>
      <c r="D41" s="1292">
        <v>3811670.2885006899</v>
      </c>
      <c r="E41" s="1292">
        <v>269</v>
      </c>
      <c r="F41" s="1292">
        <v>3454635.6975305001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5</v>
      </c>
      <c r="D44" s="1292">
        <v>218237.14861353501</v>
      </c>
      <c r="E44" s="1292">
        <v>19</v>
      </c>
      <c r="F44" s="1292">
        <v>1614642.2697214</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826296.79407101998</v>
      </c>
      <c r="E47" s="1292">
        <v>3</v>
      </c>
      <c r="F47" s="1292">
        <v>888638.03421472898</v>
      </c>
    </row>
    <row r="48" spans="1:6">
      <c r="A48" s="1291" t="s">
        <v>31</v>
      </c>
      <c r="B48" s="1291" t="s">
        <v>28</v>
      </c>
      <c r="C48" s="1292">
        <v>38</v>
      </c>
      <c r="D48" s="1292">
        <v>38415388.9875324</v>
      </c>
      <c r="E48" s="1292">
        <v>44</v>
      </c>
      <c r="F48" s="1292">
        <v>40408980.623645402</v>
      </c>
    </row>
    <row r="49" spans="1:6">
      <c r="A49" s="1291" t="s">
        <v>31</v>
      </c>
      <c r="B49" s="1291" t="s">
        <v>39</v>
      </c>
      <c r="C49" s="1292">
        <v>0</v>
      </c>
      <c r="D49" s="1292">
        <v>0</v>
      </c>
      <c r="E49" s="1292">
        <v>6</v>
      </c>
      <c r="F49" s="1292">
        <v>17960152.537277602</v>
      </c>
    </row>
    <row r="50" spans="1:6">
      <c r="A50" s="1291" t="s">
        <v>31</v>
      </c>
      <c r="B50" s="1291" t="s">
        <v>40</v>
      </c>
      <c r="C50" s="1292">
        <v>23</v>
      </c>
      <c r="D50" s="1292">
        <v>7367018.2904487103</v>
      </c>
      <c r="E50" s="1292">
        <v>28</v>
      </c>
      <c r="F50" s="1292">
        <v>7942132.8996392796</v>
      </c>
    </row>
    <row r="51" spans="1:6">
      <c r="A51" s="1291" t="s">
        <v>41</v>
      </c>
      <c r="B51" s="1291" t="s">
        <v>42</v>
      </c>
      <c r="C51" s="1292">
        <v>13</v>
      </c>
      <c r="D51" s="1292">
        <v>186198.428407717</v>
      </c>
      <c r="E51" s="1292">
        <v>86</v>
      </c>
      <c r="F51" s="1292">
        <v>1513311.2570848099</v>
      </c>
    </row>
    <row r="52" spans="1:6">
      <c r="A52" s="1291" t="s">
        <v>41</v>
      </c>
      <c r="B52" s="1291" t="s">
        <v>28</v>
      </c>
      <c r="C52" s="1292">
        <v>11</v>
      </c>
      <c r="D52" s="1292">
        <v>611811.66793137998</v>
      </c>
      <c r="E52" s="1292">
        <v>9</v>
      </c>
      <c r="F52" s="1292">
        <v>66053.988882843303</v>
      </c>
    </row>
    <row r="53" spans="1:6">
      <c r="A53" s="1291" t="s">
        <v>43</v>
      </c>
      <c r="B53" s="1291" t="s">
        <v>44</v>
      </c>
      <c r="C53" s="1292">
        <v>153</v>
      </c>
      <c r="D53" s="1292">
        <v>2327003.7196673099</v>
      </c>
      <c r="E53" s="1292">
        <v>300</v>
      </c>
      <c r="F53" s="1292">
        <v>2540939.59271415</v>
      </c>
    </row>
    <row r="54" spans="1:6">
      <c r="A54" s="1291" t="s">
        <v>45</v>
      </c>
      <c r="B54" s="1291" t="s">
        <v>46</v>
      </c>
      <c r="C54" s="1292">
        <v>0</v>
      </c>
      <c r="D54" s="1292">
        <v>0</v>
      </c>
      <c r="E54" s="1292">
        <v>1</v>
      </c>
      <c r="F54" s="1292">
        <v>1365761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46</v>
      </c>
      <c r="D57" s="1292">
        <v>1585606.3717229799</v>
      </c>
      <c r="E57" s="1292">
        <v>51</v>
      </c>
      <c r="F57" s="1292">
        <v>1423949.40850546</v>
      </c>
    </row>
    <row r="58" spans="1:6">
      <c r="A58" s="1291" t="s">
        <v>48</v>
      </c>
      <c r="B58" s="1291" t="s">
        <v>50</v>
      </c>
      <c r="C58" s="1292">
        <v>38</v>
      </c>
      <c r="D58" s="1292">
        <v>2875574.25821327</v>
      </c>
      <c r="E58" s="1292">
        <v>52</v>
      </c>
      <c r="F58" s="1292">
        <v>524613.03793000698</v>
      </c>
    </row>
    <row r="59" spans="1:6">
      <c r="A59" s="1291" t="s">
        <v>48</v>
      </c>
      <c r="B59" s="1291" t="s">
        <v>51</v>
      </c>
      <c r="C59" s="1292">
        <v>108</v>
      </c>
      <c r="D59" s="1292">
        <v>4377789.1063289503</v>
      </c>
      <c r="E59" s="1292">
        <v>205</v>
      </c>
      <c r="F59" s="1292">
        <v>8362451.7694907198</v>
      </c>
    </row>
    <row r="60" spans="1:6">
      <c r="A60" s="1291" t="s">
        <v>48</v>
      </c>
      <c r="B60" s="1291" t="s">
        <v>52</v>
      </c>
      <c r="C60" s="1292">
        <v>56</v>
      </c>
      <c r="D60" s="1292">
        <v>1713917.15612044</v>
      </c>
      <c r="E60" s="1292">
        <v>70</v>
      </c>
      <c r="F60" s="1292">
        <v>1129153.68994937</v>
      </c>
    </row>
    <row r="61" spans="1:6">
      <c r="A61" s="1291" t="s">
        <v>48</v>
      </c>
      <c r="B61" s="1291" t="s">
        <v>53</v>
      </c>
      <c r="C61" s="1292">
        <v>154</v>
      </c>
      <c r="D61" s="1292">
        <v>8806185.2377808206</v>
      </c>
      <c r="E61" s="1292">
        <v>271</v>
      </c>
      <c r="F61" s="1292">
        <v>3971174.78379936</v>
      </c>
    </row>
    <row r="62" spans="1:6">
      <c r="A62" s="1291" t="s">
        <v>48</v>
      </c>
      <c r="B62" s="1291" t="s">
        <v>54</v>
      </c>
      <c r="C62" s="1292">
        <v>16</v>
      </c>
      <c r="D62" s="1292">
        <v>3177573.0146259898</v>
      </c>
      <c r="E62" s="1292">
        <v>22</v>
      </c>
      <c r="F62" s="1292">
        <v>924008.39396163099</v>
      </c>
    </row>
    <row r="63" spans="1:6">
      <c r="A63" s="1291" t="s">
        <v>48</v>
      </c>
      <c r="B63" s="1291" t="s">
        <v>28</v>
      </c>
      <c r="C63" s="1292">
        <v>109</v>
      </c>
      <c r="D63" s="1292">
        <v>5766168.82343724</v>
      </c>
      <c r="E63" s="1292">
        <v>112</v>
      </c>
      <c r="F63" s="1292">
        <v>2876237.3118907898</v>
      </c>
    </row>
    <row r="64" spans="1:6">
      <c r="A64" s="1291" t="s">
        <v>55</v>
      </c>
      <c r="B64" s="1291" t="s">
        <v>56</v>
      </c>
      <c r="C64" s="1292">
        <v>0</v>
      </c>
      <c r="D64" s="1292">
        <v>0</v>
      </c>
      <c r="E64" s="1292">
        <v>0</v>
      </c>
      <c r="F64" s="1292">
        <v>0</v>
      </c>
    </row>
    <row r="65" spans="1:6">
      <c r="A65" s="1291" t="s">
        <v>55</v>
      </c>
      <c r="B65" s="1291" t="s">
        <v>28</v>
      </c>
      <c r="C65" s="1292">
        <v>5</v>
      </c>
      <c r="D65" s="1292">
        <v>148217.518779798</v>
      </c>
      <c r="E65" s="1292">
        <v>4</v>
      </c>
      <c r="F65" s="1292">
        <v>26875.049924729199</v>
      </c>
    </row>
    <row r="66" spans="1:6">
      <c r="A66" s="1291" t="s">
        <v>55</v>
      </c>
      <c r="B66" s="1291" t="s">
        <v>57</v>
      </c>
      <c r="C66" s="1292">
        <v>0</v>
      </c>
      <c r="D66" s="1292">
        <v>0</v>
      </c>
      <c r="E66" s="1292">
        <v>7</v>
      </c>
      <c r="F66" s="1292">
        <v>115929.365609446</v>
      </c>
    </row>
    <row r="67" spans="1:6">
      <c r="A67" s="1293" t="s">
        <v>55</v>
      </c>
      <c r="B67" s="1293" t="s">
        <v>58</v>
      </c>
      <c r="C67" s="1292">
        <v>0</v>
      </c>
      <c r="D67" s="1292">
        <v>0</v>
      </c>
      <c r="E67" s="1292">
        <v>0</v>
      </c>
      <c r="F67" s="1292">
        <v>0</v>
      </c>
    </row>
    <row r="68" spans="1:6">
      <c r="A68" s="1286" t="s">
        <v>55</v>
      </c>
      <c r="B68" s="1286" t="s">
        <v>59</v>
      </c>
      <c r="C68" s="1295">
        <v>6</v>
      </c>
      <c r="D68" s="1295">
        <v>987373.37910912104</v>
      </c>
      <c r="E68" s="1295">
        <v>15</v>
      </c>
      <c r="F68" s="1295">
        <v>960909.10084674601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59710483</v>
      </c>
      <c r="E73" s="443"/>
      <c r="F73" s="324"/>
    </row>
    <row r="74" spans="1:6">
      <c r="A74" s="1291" t="s">
        <v>63</v>
      </c>
      <c r="B74" s="1291" t="s">
        <v>648</v>
      </c>
      <c r="C74" s="1305" t="s">
        <v>650</v>
      </c>
      <c r="D74" s="1306">
        <v>5366113.5</v>
      </c>
      <c r="E74" s="443"/>
      <c r="F74" s="324"/>
    </row>
    <row r="75" spans="1:6">
      <c r="A75" s="1291" t="s">
        <v>64</v>
      </c>
      <c r="B75" s="1291" t="s">
        <v>647</v>
      </c>
      <c r="C75" s="1305" t="s">
        <v>651</v>
      </c>
      <c r="D75" s="1306">
        <v>25162916</v>
      </c>
      <c r="E75" s="443"/>
      <c r="F75" s="324"/>
    </row>
    <row r="76" spans="1:6">
      <c r="A76" s="1291" t="s">
        <v>64</v>
      </c>
      <c r="B76" s="1291" t="s">
        <v>648</v>
      </c>
      <c r="C76" s="1305" t="s">
        <v>652</v>
      </c>
      <c r="D76" s="1306">
        <v>928216.5</v>
      </c>
      <c r="E76" s="443"/>
      <c r="F76" s="324"/>
    </row>
    <row r="77" spans="1:6">
      <c r="A77" s="1291" t="s">
        <v>65</v>
      </c>
      <c r="B77" s="1291" t="s">
        <v>647</v>
      </c>
      <c r="C77" s="1305" t="s">
        <v>653</v>
      </c>
      <c r="D77" s="1306">
        <v>35175176</v>
      </c>
      <c r="E77" s="443"/>
      <c r="F77" s="324"/>
    </row>
    <row r="78" spans="1:6">
      <c r="A78" s="1286" t="s">
        <v>65</v>
      </c>
      <c r="B78" s="1286" t="s">
        <v>648</v>
      </c>
      <c r="C78" s="1286" t="s">
        <v>654</v>
      </c>
      <c r="D78" s="1307">
        <v>8408317</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72205</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18516.317346487296</v>
      </c>
      <c r="C90" s="324"/>
      <c r="D90" s="324"/>
      <c r="E90" s="324"/>
      <c r="F90" s="324"/>
    </row>
    <row r="91" spans="1:6">
      <c r="A91" s="1291" t="s">
        <v>67</v>
      </c>
      <c r="B91" s="1292">
        <v>3441.2670419406995</v>
      </c>
      <c r="C91" s="324"/>
      <c r="D91" s="324"/>
      <c r="E91" s="324"/>
      <c r="F91" s="324"/>
    </row>
    <row r="92" spans="1:6">
      <c r="A92" s="1286" t="s">
        <v>68</v>
      </c>
      <c r="B92" s="1287">
        <v>2782.4543944915558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4254</v>
      </c>
      <c r="C97" s="324"/>
      <c r="D97" s="324"/>
      <c r="E97" s="324"/>
      <c r="F97" s="324"/>
    </row>
    <row r="98" spans="1:6">
      <c r="A98" s="1291" t="s">
        <v>71</v>
      </c>
      <c r="B98" s="1292">
        <v>2</v>
      </c>
      <c r="C98" s="324"/>
      <c r="D98" s="324"/>
      <c r="E98" s="324"/>
      <c r="F98" s="324"/>
    </row>
    <row r="99" spans="1:6">
      <c r="A99" s="1291" t="s">
        <v>72</v>
      </c>
      <c r="B99" s="1292">
        <v>95</v>
      </c>
      <c r="C99" s="324"/>
      <c r="D99" s="324"/>
      <c r="E99" s="324"/>
      <c r="F99" s="324"/>
    </row>
    <row r="100" spans="1:6">
      <c r="A100" s="1291" t="s">
        <v>73</v>
      </c>
      <c r="B100" s="1292">
        <v>691</v>
      </c>
      <c r="C100" s="324"/>
      <c r="D100" s="324"/>
      <c r="E100" s="324"/>
      <c r="F100" s="324"/>
    </row>
    <row r="101" spans="1:6">
      <c r="A101" s="1291" t="s">
        <v>74</v>
      </c>
      <c r="B101" s="1292">
        <v>112</v>
      </c>
      <c r="C101" s="324"/>
      <c r="D101" s="324"/>
      <c r="E101" s="324"/>
      <c r="F101" s="324"/>
    </row>
    <row r="102" spans="1:6">
      <c r="A102" s="1291" t="s">
        <v>75</v>
      </c>
      <c r="B102" s="1292">
        <v>113</v>
      </c>
      <c r="C102" s="324"/>
      <c r="D102" s="324"/>
      <c r="E102" s="324"/>
      <c r="F102" s="324"/>
    </row>
    <row r="103" spans="1:6">
      <c r="A103" s="1291" t="s">
        <v>76</v>
      </c>
      <c r="B103" s="1292">
        <v>252</v>
      </c>
      <c r="C103" s="324"/>
      <c r="D103" s="324"/>
      <c r="E103" s="324"/>
      <c r="F103" s="324"/>
    </row>
    <row r="104" spans="1:6">
      <c r="A104" s="1291" t="s">
        <v>77</v>
      </c>
      <c r="B104" s="1292">
        <v>1946</v>
      </c>
      <c r="C104" s="324"/>
      <c r="D104" s="324"/>
      <c r="E104" s="324"/>
      <c r="F104" s="324"/>
    </row>
    <row r="105" spans="1:6">
      <c r="A105" s="1286" t="s">
        <v>78</v>
      </c>
      <c r="B105" s="129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16</v>
      </c>
      <c r="C123" s="1292">
        <v>32</v>
      </c>
      <c r="D123" s="324"/>
      <c r="E123" s="324"/>
      <c r="F123" s="324"/>
    </row>
    <row r="124" spans="1:6" s="43" customFormat="1">
      <c r="A124" s="1293" t="s">
        <v>88</v>
      </c>
      <c r="B124" s="1314">
        <v>0</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108</v>
      </c>
      <c r="C129" s="324"/>
      <c r="D129" s="324"/>
      <c r="E129" s="324"/>
      <c r="F129" s="324"/>
    </row>
    <row r="130" spans="1:6">
      <c r="A130" s="1291" t="s">
        <v>289</v>
      </c>
      <c r="B130" s="1292">
        <v>4</v>
      </c>
      <c r="C130" s="324"/>
      <c r="D130" s="324"/>
      <c r="E130" s="324"/>
      <c r="F130" s="324"/>
    </row>
    <row r="131" spans="1:6">
      <c r="A131" s="1291" t="s">
        <v>290</v>
      </c>
      <c r="B131" s="1292">
        <v>2</v>
      </c>
      <c r="C131" s="324"/>
      <c r="D131" s="324"/>
      <c r="E131" s="324"/>
      <c r="F131" s="324"/>
    </row>
    <row r="132" spans="1:6">
      <c r="A132" s="1286" t="s">
        <v>291</v>
      </c>
      <c r="B132" s="1287">
        <v>18</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132442.10517002211</v>
      </c>
      <c r="C3" s="43" t="s">
        <v>169</v>
      </c>
      <c r="D3" s="43"/>
      <c r="E3" s="154"/>
      <c r="F3" s="43"/>
      <c r="G3" s="43"/>
      <c r="H3" s="43"/>
      <c r="I3" s="43"/>
      <c r="J3" s="43"/>
      <c r="K3" s="96"/>
    </row>
    <row r="4" spans="1:11">
      <c r="A4" s="352" t="s">
        <v>170</v>
      </c>
      <c r="B4" s="49">
        <f>IF(ISERROR('SEAP template'!B78+'SEAP template'!C78),0,'SEAP template'!B78+'SEAP template'!C78)</f>
        <v>24740.038782919553</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0.17971744439575107</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1365.761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1365.761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0.17971744439575107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245.45107657538537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31963.6870719418</v>
      </c>
      <c r="C5" s="17">
        <f>IF(ISERROR('Eigen informatie GS &amp; warmtenet'!B57),0,'Eigen informatie GS &amp; warmtenet'!B57)</f>
        <v>0</v>
      </c>
      <c r="D5" s="30">
        <f>(SUM(HH_hh_gas_kWh,HH_rest_gas_kWh)/1000)*0.902</f>
        <v>92894.026756929205</v>
      </c>
      <c r="E5" s="17">
        <f>B32*B41</f>
        <v>1346.3592677579325</v>
      </c>
      <c r="F5" s="17">
        <f>B36*B45</f>
        <v>34110.708763949617</v>
      </c>
      <c r="G5" s="18"/>
      <c r="H5" s="17"/>
      <c r="I5" s="17"/>
      <c r="J5" s="17">
        <f>B35*B44+C35*C44</f>
        <v>164.13690365068857</v>
      </c>
      <c r="K5" s="17"/>
      <c r="L5" s="17"/>
      <c r="M5" s="17"/>
      <c r="N5" s="17">
        <f>B34*B43+C34*C43</f>
        <v>11689.231419549604</v>
      </c>
      <c r="O5" s="17">
        <f>B52*B53*B54</f>
        <v>221.99333333333334</v>
      </c>
      <c r="P5" s="17">
        <f>B60*B61*B62/1000-B60*B61*B62/1000/B63</f>
        <v>648.26666666666665</v>
      </c>
    </row>
    <row r="6" spans="1:16">
      <c r="A6" s="16" t="s">
        <v>613</v>
      </c>
      <c r="B6" s="756">
        <f>kWh_PV_kleiner_dan_10kW</f>
        <v>3441.2670419406995</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35404.954113882501</v>
      </c>
      <c r="C8" s="21">
        <f>C5</f>
        <v>0</v>
      </c>
      <c r="D8" s="21">
        <f>D5</f>
        <v>92894.026756929205</v>
      </c>
      <c r="E8" s="21">
        <f>E5</f>
        <v>1346.3592677579325</v>
      </c>
      <c r="F8" s="21">
        <f>F5</f>
        <v>34110.708763949617</v>
      </c>
      <c r="G8" s="21"/>
      <c r="H8" s="21"/>
      <c r="I8" s="21"/>
      <c r="J8" s="21">
        <f>J5</f>
        <v>164.13690365068857</v>
      </c>
      <c r="K8" s="21"/>
      <c r="L8" s="21">
        <f>L5</f>
        <v>0</v>
      </c>
      <c r="M8" s="21">
        <f>M5</f>
        <v>0</v>
      </c>
      <c r="N8" s="21">
        <f>N5</f>
        <v>11689.231419549604</v>
      </c>
      <c r="O8" s="21">
        <f>O5</f>
        <v>221.99333333333334</v>
      </c>
      <c r="P8" s="21">
        <f>P5</f>
        <v>648.26666666666665</v>
      </c>
    </row>
    <row r="9" spans="1:16">
      <c r="B9" s="19"/>
      <c r="C9" s="19"/>
      <c r="D9" s="254"/>
      <c r="E9" s="19"/>
      <c r="F9" s="19"/>
      <c r="G9" s="19"/>
      <c r="H9" s="19"/>
      <c r="I9" s="19"/>
      <c r="J9" s="19"/>
      <c r="K9" s="19"/>
      <c r="L9" s="19"/>
      <c r="M9" s="19"/>
      <c r="N9" s="19"/>
      <c r="O9" s="19"/>
      <c r="P9" s="19"/>
    </row>
    <row r="10" spans="1:16">
      <c r="A10" s="24" t="s">
        <v>213</v>
      </c>
      <c r="B10" s="25">
        <f ca="1">'EF ele_warmte'!B12</f>
        <v>0.17971744439575107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6362.887872295797</v>
      </c>
      <c r="C12" s="23">
        <f ca="1">C10*C8</f>
        <v>0</v>
      </c>
      <c r="D12" s="23">
        <f>D8*D10</f>
        <v>18764.593404899701</v>
      </c>
      <c r="E12" s="23">
        <f>E10*E8</f>
        <v>305.6235537810507</v>
      </c>
      <c r="F12" s="23">
        <f>F10*F8</f>
        <v>9107.5592399745474</v>
      </c>
      <c r="G12" s="23"/>
      <c r="H12" s="23"/>
      <c r="I12" s="23"/>
      <c r="J12" s="23">
        <f>J10*J8</f>
        <v>58.104463892343752</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8289</v>
      </c>
      <c r="C26" s="36"/>
      <c r="D26" s="225"/>
    </row>
    <row r="27" spans="1:5" s="15" customFormat="1">
      <c r="A27" s="227" t="s">
        <v>768</v>
      </c>
      <c r="B27" s="37">
        <f>SUM(HH_hh_gas_aantal,HH_rest_gas_aantal)</f>
        <v>6253</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5940.35</v>
      </c>
      <c r="C31" s="34" t="s">
        <v>110</v>
      </c>
      <c r="D31" s="171"/>
    </row>
    <row r="32" spans="1:5">
      <c r="A32" s="168" t="s">
        <v>72</v>
      </c>
      <c r="B32" s="33">
        <f>IF((B21*($B$26-($B$27-0.05*$B$27)-$B$60))&lt;0,0,B21*($B$26-($B$27-0.05*$B$27)-$B$60))</f>
        <v>25.462294130079204</v>
      </c>
      <c r="C32" s="34" t="s">
        <v>110</v>
      </c>
      <c r="D32" s="171"/>
    </row>
    <row r="33" spans="1:6">
      <c r="A33" s="168" t="s">
        <v>73</v>
      </c>
      <c r="B33" s="33">
        <f>IF((B22*($B$26-($B$27-0.05*$B$27)-$B$60))&lt;0,0,B22*($B$26-($B$27-0.05*$B$27)-$B$60))</f>
        <v>529.38247741684222</v>
      </c>
      <c r="C33" s="34" t="s">
        <v>110</v>
      </c>
      <c r="D33" s="171"/>
    </row>
    <row r="34" spans="1:6">
      <c r="A34" s="168" t="s">
        <v>74</v>
      </c>
      <c r="B34" s="33">
        <f>IF((B24*($B$26-($B$27-0.05*$B$27)-$B$60))&lt;0,0,B24*($B$26-($B$27-0.05*$B$27)-$B$60))</f>
        <v>105.27535555697366</v>
      </c>
      <c r="C34" s="33">
        <f>B26*C24</f>
        <v>1696.7214316176276</v>
      </c>
      <c r="D34" s="230"/>
    </row>
    <row r="35" spans="1:6">
      <c r="A35" s="168" t="s">
        <v>76</v>
      </c>
      <c r="B35" s="33">
        <f>IF((B19*($B$26-($B$27-0.05*$B$27)-$B$60))&lt;0,0,B19*($B$26-($B$27-0.05*$B$27)-$B$60))</f>
        <v>19.272211040043576</v>
      </c>
      <c r="C35" s="33">
        <f>B35/2</f>
        <v>9.636105520021788</v>
      </c>
      <c r="D35" s="230"/>
    </row>
    <row r="36" spans="1:6">
      <c r="A36" s="168" t="s">
        <v>77</v>
      </c>
      <c r="B36" s="33">
        <f>IF((B18*($B$26-($B$27-0.05*$B$27)-$B$60))&lt;0,0,B18*($B$26-($B$27-0.05*$B$27)-$B$60))</f>
        <v>1635.2576618560611</v>
      </c>
      <c r="C36" s="34" t="s">
        <v>110</v>
      </c>
      <c r="D36" s="171"/>
    </row>
    <row r="37" spans="1:6">
      <c r="A37" s="168" t="s">
        <v>78</v>
      </c>
      <c r="B37" s="33">
        <f>B60</f>
        <v>34</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142</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34</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19211.588395527335</v>
      </c>
      <c r="C5" s="17">
        <f>IF(ISERROR('Eigen informatie GS &amp; warmtenet'!B58),0,'Eigen informatie GS &amp; warmtenet'!B58)</f>
        <v>0</v>
      </c>
      <c r="D5" s="30">
        <f>SUM(D6:D12)</f>
        <v>25529.138199343182</v>
      </c>
      <c r="E5" s="17">
        <f>SUM(E6:E12)</f>
        <v>370.8882826164853</v>
      </c>
      <c r="F5" s="17">
        <f>SUM(F6:F12)</f>
        <v>3460.2124206013664</v>
      </c>
      <c r="G5" s="18"/>
      <c r="H5" s="17"/>
      <c r="I5" s="17"/>
      <c r="J5" s="17">
        <f>SUM(J6:J12)</f>
        <v>3.7873241168053261E-2</v>
      </c>
      <c r="K5" s="17"/>
      <c r="L5" s="17"/>
      <c r="M5" s="17"/>
      <c r="N5" s="17">
        <f>SUM(N6:N12)</f>
        <v>1514.1122973055067</v>
      </c>
      <c r="O5" s="17">
        <f>B38*B39*B40</f>
        <v>6.2533333333333339</v>
      </c>
      <c r="P5" s="17">
        <f>B46*B47*B48/1000-B46*B47*B48/1000/B49</f>
        <v>38.133333333333333</v>
      </c>
      <c r="R5" s="32"/>
    </row>
    <row r="6" spans="1:18">
      <c r="A6" s="32" t="s">
        <v>53</v>
      </c>
      <c r="B6" s="37">
        <f>B26</f>
        <v>3971.1747837993598</v>
      </c>
      <c r="C6" s="33"/>
      <c r="D6" s="37">
        <f>IF(ISERROR(TER_kantoor_gas_kWh/1000),0,TER_kantoor_gas_kWh/1000)*0.902</f>
        <v>7943.1790844783009</v>
      </c>
      <c r="E6" s="33">
        <f>$C$26*'E Balans VL '!I12/100/3.6*1000000</f>
        <v>2.4890002752813369E-2</v>
      </c>
      <c r="F6" s="33">
        <f>$C$26*('E Balans VL '!L12+'E Balans VL '!N12)/100/3.6*1000000</f>
        <v>596.7566047984152</v>
      </c>
      <c r="G6" s="34"/>
      <c r="H6" s="33"/>
      <c r="I6" s="33"/>
      <c r="J6" s="33">
        <f>$C$26*('E Balans VL '!D12+'E Balans VL '!E12)/100/3.6*1000000</f>
        <v>0</v>
      </c>
      <c r="K6" s="33"/>
      <c r="L6" s="33"/>
      <c r="M6" s="33"/>
      <c r="N6" s="33">
        <f>$C$26*'E Balans VL '!Y12/100/3.6*1000000</f>
        <v>3.7978398894259819</v>
      </c>
      <c r="O6" s="33"/>
      <c r="P6" s="33"/>
      <c r="R6" s="32"/>
    </row>
    <row r="7" spans="1:18">
      <c r="A7" s="32" t="s">
        <v>52</v>
      </c>
      <c r="B7" s="37">
        <f t="shared" ref="B7:B12" si="0">B27</f>
        <v>1129.1536899493699</v>
      </c>
      <c r="C7" s="33"/>
      <c r="D7" s="37">
        <f>IF(ISERROR(TER_horeca_gas_kWh/1000),0,TER_horeca_gas_kWh/1000)*0.902</f>
        <v>1545.953274820637</v>
      </c>
      <c r="E7" s="33">
        <f>$C$27*'E Balans VL '!I9/100/3.6*1000000</f>
        <v>16.169292758974553</v>
      </c>
      <c r="F7" s="33">
        <f>$C$27*('E Balans VL '!L9+'E Balans VL '!N9)/100/3.6*1000000</f>
        <v>142.98809807102347</v>
      </c>
      <c r="G7" s="34"/>
      <c r="H7" s="33"/>
      <c r="I7" s="33"/>
      <c r="J7" s="33">
        <f>$C$27*('E Balans VL '!D9+'E Balans VL '!E9)/100/3.6*1000000</f>
        <v>0</v>
      </c>
      <c r="K7" s="33"/>
      <c r="L7" s="33"/>
      <c r="M7" s="33"/>
      <c r="N7" s="33">
        <f>$C$27*'E Balans VL '!Y9/100/3.6*1000000</f>
        <v>0.32460679015861915</v>
      </c>
      <c r="O7" s="33"/>
      <c r="P7" s="33"/>
      <c r="R7" s="32"/>
    </row>
    <row r="8" spans="1:18">
      <c r="A8" s="6" t="s">
        <v>51</v>
      </c>
      <c r="B8" s="37">
        <f t="shared" si="0"/>
        <v>8362.451769490719</v>
      </c>
      <c r="C8" s="33"/>
      <c r="D8" s="37">
        <f>IF(ISERROR(TER_handel_gas_kWh/1000),0,TER_handel_gas_kWh/1000)*0.902</f>
        <v>3948.7657739087131</v>
      </c>
      <c r="E8" s="33">
        <f>$C$28*'E Balans VL '!I13/100/3.6*1000000</f>
        <v>303.30509446807605</v>
      </c>
      <c r="F8" s="33">
        <f>$C$28*('E Balans VL '!L13+'E Balans VL '!N13)/100/3.6*1000000</f>
        <v>1610.6928860115602</v>
      </c>
      <c r="G8" s="34"/>
      <c r="H8" s="33"/>
      <c r="I8" s="33"/>
      <c r="J8" s="33">
        <f>$C$28*('E Balans VL '!D13+'E Balans VL '!E13)/100/3.6*1000000</f>
        <v>0</v>
      </c>
      <c r="K8" s="33"/>
      <c r="L8" s="33"/>
      <c r="M8" s="33"/>
      <c r="N8" s="33">
        <f>$C$28*'E Balans VL '!Y13/100/3.6*1000000</f>
        <v>11.583919815083879</v>
      </c>
      <c r="O8" s="33"/>
      <c r="P8" s="33"/>
      <c r="R8" s="32"/>
    </row>
    <row r="9" spans="1:18">
      <c r="A9" s="32" t="s">
        <v>50</v>
      </c>
      <c r="B9" s="37">
        <f t="shared" si="0"/>
        <v>524.61303793000695</v>
      </c>
      <c r="C9" s="33"/>
      <c r="D9" s="37">
        <f>IF(ISERROR(TER_gezond_gas_kWh/1000),0,TER_gezond_gas_kWh/1000)*0.902</f>
        <v>2593.7679809083693</v>
      </c>
      <c r="E9" s="33">
        <f>$C$29*'E Balans VL '!I10/100/3.6*1000000</f>
        <v>3.28459557924159E-2</v>
      </c>
      <c r="F9" s="33">
        <f>$C$29*('E Balans VL '!L10+'E Balans VL '!N10)/100/3.6*1000000</f>
        <v>77.932864079084737</v>
      </c>
      <c r="G9" s="34"/>
      <c r="H9" s="33"/>
      <c r="I9" s="33"/>
      <c r="J9" s="33">
        <f>$C$29*('E Balans VL '!D10+'E Balans VL '!E10)/100/3.6*1000000</f>
        <v>0</v>
      </c>
      <c r="K9" s="33"/>
      <c r="L9" s="33"/>
      <c r="M9" s="33"/>
      <c r="N9" s="33">
        <f>$C$29*'E Balans VL '!Y10/100/3.6*1000000</f>
        <v>8.1147650915324316</v>
      </c>
      <c r="O9" s="33"/>
      <c r="P9" s="33"/>
      <c r="R9" s="32"/>
    </row>
    <row r="10" spans="1:18">
      <c r="A10" s="32" t="s">
        <v>49</v>
      </c>
      <c r="B10" s="37">
        <f t="shared" si="0"/>
        <v>1423.94940850546</v>
      </c>
      <c r="C10" s="33"/>
      <c r="D10" s="37">
        <f>IF(ISERROR(TER_ander_gas_kWh/1000),0,TER_ander_gas_kWh/1000)*0.902</f>
        <v>1430.216947294128</v>
      </c>
      <c r="E10" s="33">
        <f>$C$30*'E Balans VL '!I14/100/3.6*1000000</f>
        <v>1.6972968115844247</v>
      </c>
      <c r="F10" s="33">
        <f>$C$30*('E Balans VL '!L14+'E Balans VL '!N14)/100/3.6*1000000</f>
        <v>372.56846908364963</v>
      </c>
      <c r="G10" s="34"/>
      <c r="H10" s="33"/>
      <c r="I10" s="33"/>
      <c r="J10" s="33">
        <f>$C$30*('E Balans VL '!D14+'E Balans VL '!E14)/100/3.6*1000000</f>
        <v>3.0908359931094635E-2</v>
      </c>
      <c r="K10" s="33"/>
      <c r="L10" s="33"/>
      <c r="M10" s="33"/>
      <c r="N10" s="33">
        <f>$C$30*'E Balans VL '!Y14/100/3.6*1000000</f>
        <v>1209.1829941512685</v>
      </c>
      <c r="O10" s="33"/>
      <c r="P10" s="33"/>
      <c r="R10" s="32"/>
    </row>
    <row r="11" spans="1:18">
      <c r="A11" s="32" t="s">
        <v>54</v>
      </c>
      <c r="B11" s="37">
        <f t="shared" si="0"/>
        <v>924.00839396163099</v>
      </c>
      <c r="C11" s="33"/>
      <c r="D11" s="37">
        <f>IF(ISERROR(TER_onderwijs_gas_kWh/1000),0,TER_onderwijs_gas_kWh/1000)*0.902</f>
        <v>2866.1708591926431</v>
      </c>
      <c r="E11" s="33">
        <f>$C$31*'E Balans VL '!I11/100/3.6*1000000</f>
        <v>13.941798407844626</v>
      </c>
      <c r="F11" s="33">
        <f>$C$31*('E Balans VL '!L11+'E Balans VL '!N11)/100/3.6*1000000</f>
        <v>161.90103209532015</v>
      </c>
      <c r="G11" s="34"/>
      <c r="H11" s="33"/>
      <c r="I11" s="33"/>
      <c r="J11" s="33">
        <f>$C$31*('E Balans VL '!D11+'E Balans VL '!E11)/100/3.6*1000000</f>
        <v>0</v>
      </c>
      <c r="K11" s="33"/>
      <c r="L11" s="33"/>
      <c r="M11" s="33"/>
      <c r="N11" s="33">
        <f>$C$31*'E Balans VL '!Y11/100/3.6*1000000</f>
        <v>2.60022986640123</v>
      </c>
      <c r="O11" s="33"/>
      <c r="P11" s="33"/>
      <c r="R11" s="32"/>
    </row>
    <row r="12" spans="1:18">
      <c r="A12" s="32" t="s">
        <v>254</v>
      </c>
      <c r="B12" s="37">
        <f t="shared" si="0"/>
        <v>2876.2373118907899</v>
      </c>
      <c r="C12" s="33"/>
      <c r="D12" s="37">
        <f>IF(ISERROR(TER_rest_gas_kWh/1000),0,TER_rest_gas_kWh/1000)*0.902</f>
        <v>5201.0842787403899</v>
      </c>
      <c r="E12" s="33">
        <f>$C$32*'E Balans VL '!I8/100/3.6*1000000</f>
        <v>35.717064211460446</v>
      </c>
      <c r="F12" s="33">
        <f>$C$32*('E Balans VL '!L8+'E Balans VL '!N8)/100/3.6*1000000</f>
        <v>497.37246646231262</v>
      </c>
      <c r="G12" s="34"/>
      <c r="H12" s="33"/>
      <c r="I12" s="33"/>
      <c r="J12" s="33">
        <f>$C$32*('E Balans VL '!D8+'E Balans VL '!E8)/100/3.6*1000000</f>
        <v>6.9648812369586246E-3</v>
      </c>
      <c r="K12" s="33"/>
      <c r="L12" s="33"/>
      <c r="M12" s="33"/>
      <c r="N12" s="33">
        <f>$C$32*'E Balans VL '!Y8/100/3.6*1000000</f>
        <v>278.50794170163613</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19211.588395527335</v>
      </c>
      <c r="C16" s="21">
        <f t="shared" ca="1" si="1"/>
        <v>0</v>
      </c>
      <c r="D16" s="21">
        <f t="shared" ca="1" si="1"/>
        <v>25529.138199343182</v>
      </c>
      <c r="E16" s="21">
        <f t="shared" si="1"/>
        <v>370.8882826164853</v>
      </c>
      <c r="F16" s="21">
        <f t="shared" ca="1" si="1"/>
        <v>3460.2124206013664</v>
      </c>
      <c r="G16" s="21">
        <f t="shared" si="1"/>
        <v>0</v>
      </c>
      <c r="H16" s="21">
        <f t="shared" si="1"/>
        <v>0</v>
      </c>
      <c r="I16" s="21">
        <f t="shared" si="1"/>
        <v>0</v>
      </c>
      <c r="J16" s="21">
        <f t="shared" si="1"/>
        <v>3.7873241168053261E-2</v>
      </c>
      <c r="K16" s="21">
        <f t="shared" si="1"/>
        <v>0</v>
      </c>
      <c r="L16" s="21">
        <f t="shared" ca="1" si="1"/>
        <v>0</v>
      </c>
      <c r="M16" s="21">
        <f t="shared" si="1"/>
        <v>0</v>
      </c>
      <c r="N16" s="21">
        <f t="shared" ca="1" si="1"/>
        <v>1514.1122973055067</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0.17971744439575107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3452.6575692272404</v>
      </c>
      <c r="C20" s="23">
        <f t="shared" ref="C20:P20" ca="1" si="2">C16*C18</f>
        <v>0</v>
      </c>
      <c r="D20" s="23">
        <f t="shared" ca="1" si="2"/>
        <v>5156.8859162673234</v>
      </c>
      <c r="E20" s="23">
        <f t="shared" si="2"/>
        <v>84.19164015394216</v>
      </c>
      <c r="F20" s="23">
        <f t="shared" ca="1" si="2"/>
        <v>923.87671630056491</v>
      </c>
      <c r="G20" s="23">
        <f t="shared" si="2"/>
        <v>0</v>
      </c>
      <c r="H20" s="23">
        <f t="shared" si="2"/>
        <v>0</v>
      </c>
      <c r="I20" s="23">
        <f t="shared" si="2"/>
        <v>0</v>
      </c>
      <c r="J20" s="23">
        <f t="shared" si="2"/>
        <v>1.3407127373490854E-2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3971.1747837993598</v>
      </c>
      <c r="C26" s="39">
        <f>IF(ISERROR(B26*3.6/1000000/'E Balans VL '!Z12*100),0,B26*3.6/1000000/'E Balans VL '!Z12*100)</f>
        <v>8.3944344080517166E-2</v>
      </c>
      <c r="D26" s="233" t="s">
        <v>732</v>
      </c>
      <c r="F26" s="6"/>
    </row>
    <row r="27" spans="1:18">
      <c r="A27" s="228" t="s">
        <v>52</v>
      </c>
      <c r="B27" s="33">
        <f>IF(ISERROR(TER_horeca_ele_kWh/1000),0,TER_horeca_ele_kWh/1000)</f>
        <v>1129.1536899493699</v>
      </c>
      <c r="C27" s="39">
        <f>IF(ISERROR(B27*3.6/1000000/'E Balans VL '!Z9*100),0,B27*3.6/1000000/'E Balans VL '!Z9*100)</f>
        <v>8.901076452164304E-2</v>
      </c>
      <c r="D27" s="233" t="s">
        <v>732</v>
      </c>
      <c r="F27" s="6"/>
    </row>
    <row r="28" spans="1:18">
      <c r="A28" s="168" t="s">
        <v>51</v>
      </c>
      <c r="B28" s="33">
        <f>IF(ISERROR(TER_handel_ele_kWh/1000),0,TER_handel_ele_kWh/1000)</f>
        <v>8362.451769490719</v>
      </c>
      <c r="C28" s="39">
        <f>IF(ISERROR(B28*3.6/1000000/'E Balans VL '!Z13*100),0,B28*3.6/1000000/'E Balans VL '!Z13*100)</f>
        <v>0.24271213844193132</v>
      </c>
      <c r="D28" s="233" t="s">
        <v>732</v>
      </c>
      <c r="F28" s="6"/>
    </row>
    <row r="29" spans="1:18">
      <c r="A29" s="228" t="s">
        <v>50</v>
      </c>
      <c r="B29" s="33">
        <f>IF(ISERROR(TER_gezond_ele_kWh/1000),0,TER_gezond_ele_kWh/1000)</f>
        <v>524.61303793000695</v>
      </c>
      <c r="C29" s="39">
        <f>IF(ISERROR(B29*3.6/1000000/'E Balans VL '!Z10*100),0,B29*3.6/1000000/'E Balans VL '!Z10*100)</f>
        <v>5.5250367267498712E-2</v>
      </c>
      <c r="D29" s="233" t="s">
        <v>732</v>
      </c>
      <c r="F29" s="6"/>
    </row>
    <row r="30" spans="1:18">
      <c r="A30" s="228" t="s">
        <v>49</v>
      </c>
      <c r="B30" s="33">
        <f>IF(ISERROR(TER_ander_ele_kWh/1000),0,TER_ander_ele_kWh/1000)</f>
        <v>1423.94940850546</v>
      </c>
      <c r="C30" s="39">
        <f>IF(ISERROR(B30*3.6/1000000/'E Balans VL '!Z14*100),0,B30*3.6/1000000/'E Balans VL '!Z14*100)</f>
        <v>0.1050308176516358</v>
      </c>
      <c r="D30" s="233" t="s">
        <v>732</v>
      </c>
      <c r="F30" s="6"/>
    </row>
    <row r="31" spans="1:18">
      <c r="A31" s="228" t="s">
        <v>54</v>
      </c>
      <c r="B31" s="33">
        <f>IF(ISERROR(TER_onderwijs_ele_kWh/1000),0,TER_onderwijs_ele_kWh/1000)</f>
        <v>924.00839396163099</v>
      </c>
      <c r="C31" s="39">
        <f>IF(ISERROR(B31*3.6/1000000/'E Balans VL '!Z11*100),0,B31*3.6/1000000/'E Balans VL '!Z11*100)</f>
        <v>0.22947456732287716</v>
      </c>
      <c r="D31" s="233" t="s">
        <v>732</v>
      </c>
    </row>
    <row r="32" spans="1:18">
      <c r="A32" s="228" t="s">
        <v>254</v>
      </c>
      <c r="B32" s="33">
        <f>IF(ISERROR(TER_rest_ele_kWh/1000),0,TER_rest_ele_kWh/1000)</f>
        <v>2876.2373118907899</v>
      </c>
      <c r="C32" s="39">
        <f>IF(ISERROR(B32*3.6/1000000/'E Balans VL '!Z8*100),0,B32*3.6/1000000/'E Balans VL '!Z8*100)</f>
        <v>2.3667615259920827E-2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4</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72269.182062028907</v>
      </c>
      <c r="C5" s="17">
        <f>IF(ISERROR('Eigen informatie GS &amp; warmtenet'!B59),0,'Eigen informatie GS &amp; warmtenet'!B59)</f>
        <v>0</v>
      </c>
      <c r="D5" s="30">
        <f>SUM(D6:D15)</f>
        <v>45676.027581268056</v>
      </c>
      <c r="E5" s="17">
        <f>SUM(E6:E15)</f>
        <v>3327.3248290968854</v>
      </c>
      <c r="F5" s="17">
        <f>SUM(F6:F15)</f>
        <v>13272.402967684455</v>
      </c>
      <c r="G5" s="18"/>
      <c r="H5" s="17"/>
      <c r="I5" s="17"/>
      <c r="J5" s="17">
        <f>SUM(J6:J15)</f>
        <v>144.80081844555019</v>
      </c>
      <c r="K5" s="17"/>
      <c r="L5" s="17"/>
      <c r="M5" s="17"/>
      <c r="N5" s="17">
        <f>SUM(N6:N15)</f>
        <v>5032.2343652427007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1614.6422697214</v>
      </c>
      <c r="C8" s="33"/>
      <c r="D8" s="37">
        <f>IF( ISERROR(IND_metaal_Gas_kWH/1000),0,IND_metaal_Gas_kWH/1000)*0.902</f>
        <v>196.84990804940861</v>
      </c>
      <c r="E8" s="33">
        <f>C30*'E Balans VL '!I18/100/3.6*1000000</f>
        <v>14.845076233753888</v>
      </c>
      <c r="F8" s="33">
        <f>C30*'E Balans VL '!L18/100/3.6*1000000+C30*'E Balans VL '!N18/100/3.6*1000000</f>
        <v>151.39968801719013</v>
      </c>
      <c r="G8" s="34"/>
      <c r="H8" s="33"/>
      <c r="I8" s="33"/>
      <c r="J8" s="40">
        <f>C30*'E Balans VL '!D18/100/3.6*1000000+C30*'E Balans VL '!E18/100/3.6*1000000</f>
        <v>0</v>
      </c>
      <c r="K8" s="33"/>
      <c r="L8" s="33"/>
      <c r="M8" s="33"/>
      <c r="N8" s="33">
        <f>C30*'E Balans VL '!Y18/100/3.6*1000000</f>
        <v>23.035540286291759</v>
      </c>
      <c r="O8" s="33"/>
      <c r="P8" s="33"/>
      <c r="R8" s="32"/>
    </row>
    <row r="9" spans="1:18">
      <c r="A9" s="6" t="s">
        <v>32</v>
      </c>
      <c r="B9" s="37">
        <f t="shared" si="0"/>
        <v>3454.6356975305002</v>
      </c>
      <c r="C9" s="33"/>
      <c r="D9" s="37">
        <f>IF( ISERROR(IND_andere_gas_kWh/1000),0,IND_andere_gas_kWh/1000)*0.902</f>
        <v>3438.1266002276225</v>
      </c>
      <c r="E9" s="33">
        <f>C31*'E Balans VL '!I19/100/3.6*1000000</f>
        <v>1009.8572682126534</v>
      </c>
      <c r="F9" s="33">
        <f>C31*'E Balans VL '!L19/100/3.6*1000000+C31*'E Balans VL '!N19/100/3.6*1000000</f>
        <v>2776.0612748606359</v>
      </c>
      <c r="G9" s="34"/>
      <c r="H9" s="33"/>
      <c r="I9" s="33"/>
      <c r="J9" s="40">
        <f>C31*'E Balans VL '!D19/100/3.6*1000000+C31*'E Balans VL '!E19/100/3.6*1000000</f>
        <v>0</v>
      </c>
      <c r="K9" s="33"/>
      <c r="L9" s="33"/>
      <c r="M9" s="33"/>
      <c r="N9" s="33">
        <f>C31*'E Balans VL '!Y19/100/3.6*1000000</f>
        <v>270.97693213563031</v>
      </c>
      <c r="O9" s="33"/>
      <c r="P9" s="33"/>
      <c r="R9" s="32"/>
    </row>
    <row r="10" spans="1:18">
      <c r="A10" s="6" t="s">
        <v>40</v>
      </c>
      <c r="B10" s="37">
        <f t="shared" si="0"/>
        <v>7942.1328996392795</v>
      </c>
      <c r="C10" s="33"/>
      <c r="D10" s="37">
        <f>IF( ISERROR(IND_voed_gas_kWh/1000),0,IND_voed_gas_kWh/1000)*0.902</f>
        <v>6645.0504979847365</v>
      </c>
      <c r="E10" s="33">
        <f>C32*'E Balans VL '!I20/100/3.6*1000000</f>
        <v>16.801705293416006</v>
      </c>
      <c r="F10" s="33">
        <f>C32*'E Balans VL '!L20/100/3.6*1000000+C32*'E Balans VL '!N20/100/3.6*1000000</f>
        <v>504.96892240992253</v>
      </c>
      <c r="G10" s="34"/>
      <c r="H10" s="33"/>
      <c r="I10" s="33"/>
      <c r="J10" s="40">
        <f>C32*'E Balans VL '!D20/100/3.6*1000000+C32*'E Balans VL '!E20/100/3.6*1000000</f>
        <v>0</v>
      </c>
      <c r="K10" s="33"/>
      <c r="L10" s="33"/>
      <c r="M10" s="33"/>
      <c r="N10" s="33">
        <f>C32*'E Balans VL '!Y20/100/3.6*1000000</f>
        <v>548.08554495762144</v>
      </c>
      <c r="O10" s="33"/>
      <c r="P10" s="33"/>
      <c r="R10" s="32"/>
    </row>
    <row r="11" spans="1:18">
      <c r="A11" s="6" t="s">
        <v>39</v>
      </c>
      <c r="B11" s="37">
        <f t="shared" si="0"/>
        <v>17960.152537277601</v>
      </c>
      <c r="C11" s="33"/>
      <c r="D11" s="37">
        <f>IF( ISERROR(IND_textiel_gas_kWh/1000),0,IND_textiel_gas_kWh/1000)*0.902</f>
        <v>0</v>
      </c>
      <c r="E11" s="33">
        <f>C33*'E Balans VL '!I21/100/3.6*1000000</f>
        <v>53.340104572885281</v>
      </c>
      <c r="F11" s="33">
        <f>C33*'E Balans VL '!L21/100/3.6*1000000+C33*'E Balans VL '!N21/100/3.6*1000000</f>
        <v>1814.4684863871819</v>
      </c>
      <c r="G11" s="34"/>
      <c r="H11" s="33"/>
      <c r="I11" s="33"/>
      <c r="J11" s="40">
        <f>C33*'E Balans VL '!D21/100/3.6*1000000+C33*'E Balans VL '!E21/100/3.6*1000000</f>
        <v>0</v>
      </c>
      <c r="K11" s="33"/>
      <c r="L11" s="33"/>
      <c r="M11" s="33"/>
      <c r="N11" s="33">
        <f>C33*'E Balans VL '!Y21/100/3.6*1000000</f>
        <v>990.55972964001319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888.63803421472903</v>
      </c>
      <c r="C13" s="33"/>
      <c r="D13" s="37">
        <f>IF( ISERROR(IND_papier_gas_kWh/1000),0,IND_papier_gas_kWh/1000)*0.902</f>
        <v>745.31970825206008</v>
      </c>
      <c r="E13" s="33">
        <f>C35*'E Balans VL '!I23/100/3.6*1000000</f>
        <v>1.2607741406099457</v>
      </c>
      <c r="F13" s="33">
        <f>C35*'E Balans VL '!L23/100/3.6*1000000+C35*'E Balans VL '!N23/100/3.6*1000000</f>
        <v>21.694995909631068</v>
      </c>
      <c r="G13" s="34"/>
      <c r="H13" s="33"/>
      <c r="I13" s="33"/>
      <c r="J13" s="40">
        <f>C35*'E Balans VL '!D23/100/3.6*1000000+C35*'E Balans VL '!E23/100/3.6*1000000</f>
        <v>0.13743621503357684</v>
      </c>
      <c r="K13" s="33"/>
      <c r="L13" s="33"/>
      <c r="M13" s="33"/>
      <c r="N13" s="33">
        <f>C35*'E Balans VL '!Y23/100/3.6*1000000</f>
        <v>363.08461639274697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40408.980623645402</v>
      </c>
      <c r="C15" s="33"/>
      <c r="D15" s="37">
        <f>IF( ISERROR(IND_rest_gas_kWh/1000),0,IND_rest_gas_kWh/1000)*0.902</f>
        <v>34650.680866754228</v>
      </c>
      <c r="E15" s="33">
        <f>C37*'E Balans VL '!I15/100/3.6*1000000</f>
        <v>2231.2199006435667</v>
      </c>
      <c r="F15" s="33">
        <f>C37*'E Balans VL '!L15/100/3.6*1000000+C37*'E Balans VL '!N15/100/3.6*1000000</f>
        <v>8003.8096000998939</v>
      </c>
      <c r="G15" s="34"/>
      <c r="H15" s="33"/>
      <c r="I15" s="33"/>
      <c r="J15" s="40">
        <f>C37*'E Balans VL '!D15/100/3.6*1000000+C37*'E Balans VL '!E15/100/3.6*1000000</f>
        <v>144.66338223051662</v>
      </c>
      <c r="K15" s="33"/>
      <c r="L15" s="33"/>
      <c r="M15" s="33"/>
      <c r="N15" s="33">
        <f>C37*'E Balans VL '!Y15/100/3.6*1000000</f>
        <v>2836.4920018303974</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72269.182062028907</v>
      </c>
      <c r="C18" s="21">
        <f>C5+C16</f>
        <v>0</v>
      </c>
      <c r="D18" s="21">
        <f>MAX((D5+D16),0)</f>
        <v>45676.027581268056</v>
      </c>
      <c r="E18" s="21">
        <f>MAX((E5+E16),0)</f>
        <v>3327.3248290968854</v>
      </c>
      <c r="F18" s="21">
        <f>MAX((F5+F16),0)</f>
        <v>13272.402967684455</v>
      </c>
      <c r="G18" s="21"/>
      <c r="H18" s="21"/>
      <c r="I18" s="21"/>
      <c r="J18" s="21">
        <f>MAX((J5+J16),0)</f>
        <v>144.80081844555019</v>
      </c>
      <c r="K18" s="21"/>
      <c r="L18" s="21">
        <f>MAX((L5+L16),0)</f>
        <v>0</v>
      </c>
      <c r="M18" s="21"/>
      <c r="N18" s="21">
        <f>MAX((N5+N16),0)</f>
        <v>5032.2343652427007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0.17971744439575107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12988.03270875909</v>
      </c>
      <c r="C22" s="23">
        <f ca="1">C18*C20</f>
        <v>0</v>
      </c>
      <c r="D22" s="23">
        <f>D18*D20</f>
        <v>9226.5575714161478</v>
      </c>
      <c r="E22" s="23">
        <f>E18*E20</f>
        <v>755.30273620499304</v>
      </c>
      <c r="F22" s="23">
        <f>F18*F20</f>
        <v>3543.7315923717497</v>
      </c>
      <c r="G22" s="23"/>
      <c r="H22" s="23"/>
      <c r="I22" s="23"/>
      <c r="J22" s="23">
        <f>J18*J20</f>
        <v>51.259489729724763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1614.6422697214</v>
      </c>
      <c r="C30" s="39">
        <f>IF(ISERROR(B30*3.6/1000000/'E Balans VL '!Z18*100),0,B30*3.6/1000000/'E Balans VL '!Z18*100)</f>
        <v>9.1505917638681294E-2</v>
      </c>
      <c r="D30" s="233" t="s">
        <v>732</v>
      </c>
    </row>
    <row r="31" spans="1:18">
      <c r="A31" s="6" t="s">
        <v>32</v>
      </c>
      <c r="B31" s="37">
        <f>IF( ISERROR(IND_ander_ele_kWh/1000),0,IND_ander_ele_kWh/1000)</f>
        <v>3454.6356975305002</v>
      </c>
      <c r="C31" s="39">
        <f>IF(ISERROR(B31*3.6/1000000/'E Balans VL '!Z19*100),0,B31*3.6/1000000/'E Balans VL '!Z19*100)</f>
        <v>0.15668789038730294</v>
      </c>
      <c r="D31" s="233" t="s">
        <v>732</v>
      </c>
    </row>
    <row r="32" spans="1:18">
      <c r="A32" s="168" t="s">
        <v>40</v>
      </c>
      <c r="B32" s="37">
        <f>IF( ISERROR(IND_voed_ele_kWh/1000),0,IND_voed_ele_kWh/1000)</f>
        <v>7942.1328996392795</v>
      </c>
      <c r="C32" s="39">
        <f>IF(ISERROR(B32*3.6/1000000/'E Balans VL '!Z20*100),0,B32*3.6/1000000/'E Balans VL '!Z20*100)</f>
        <v>0.24568622482494978</v>
      </c>
      <c r="D32" s="233" t="s">
        <v>732</v>
      </c>
    </row>
    <row r="33" spans="1:5">
      <c r="A33" s="168" t="s">
        <v>39</v>
      </c>
      <c r="B33" s="37">
        <f>IF( ISERROR(IND_textiel_ele_kWh/1000),0,IND_textiel_ele_kWh/1000)</f>
        <v>17960.152537277601</v>
      </c>
      <c r="C33" s="39">
        <f>IF(ISERROR(B33*3.6/1000000/'E Balans VL '!Z21*100),0,B33*3.6/1000000/'E Balans VL '!Z21*100)</f>
        <v>2.3418042535999906</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888.63803421472903</v>
      </c>
      <c r="C35" s="39">
        <f>IF(ISERROR(B35*3.6/1000000/'E Balans VL '!Z22*100),0,B35*3.6/1000000/'E Balans VL '!Z22*100)</f>
        <v>0.15983825716787092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40408.980623645402</v>
      </c>
      <c r="C37" s="39">
        <f>IF(ISERROR(B37*3.6/1000000/'E Balans VL '!Z15*100),0,B37*3.6/1000000/'E Balans VL '!Z15*100)</f>
        <v>0.32029079839035729</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1579.3652459676534</v>
      </c>
      <c r="C5" s="17">
        <f>'Eigen informatie GS &amp; warmtenet'!B60</f>
        <v>0</v>
      </c>
      <c r="D5" s="30">
        <f>IF(ISERROR(SUM(LB_lb_gas_kWh,LB_rest_gas_kWh)/1000),0,SUM(LB_lb_gas_kWh,LB_rest_gas_kWh)/1000)*0.902</f>
        <v>719.80510689786547</v>
      </c>
      <c r="E5" s="17">
        <f>B17*'E Balans VL '!I25/3.6*1000000/100</f>
        <v>46.422368517236713</v>
      </c>
      <c r="F5" s="17">
        <f>B17*('E Balans VL '!L25/3.6*1000000+'E Balans VL '!N25/3.6*1000000)/100</f>
        <v>6579.5502702828808</v>
      </c>
      <c r="G5" s="18"/>
      <c r="H5" s="17"/>
      <c r="I5" s="17"/>
      <c r="J5" s="17">
        <f>('E Balans VL '!D25+'E Balans VL '!E25)/3.6*1000000*landbouw!B17/100</f>
        <v>228.81610688380883</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1579.3652459676534</v>
      </c>
      <c r="C8" s="21">
        <f>C5+C6</f>
        <v>0</v>
      </c>
      <c r="D8" s="21">
        <f>MAX((D5+D6),0)</f>
        <v>719.80510689786547</v>
      </c>
      <c r="E8" s="21">
        <f>MAX((E5+E6),0)</f>
        <v>46.422368517236713</v>
      </c>
      <c r="F8" s="21">
        <f>MAX((F5+F6),0)</f>
        <v>6579.5502702828808</v>
      </c>
      <c r="G8" s="21"/>
      <c r="H8" s="21"/>
      <c r="I8" s="21"/>
      <c r="J8" s="21">
        <f>MAX((J5+J6),0)</f>
        <v>228.81610688380883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0.17971744439575107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283.83948577277346</v>
      </c>
      <c r="C12" s="23">
        <f ca="1">C8*C10</f>
        <v>0</v>
      </c>
      <c r="D12" s="23">
        <f>D8*D10</f>
        <v>145.40063159336884</v>
      </c>
      <c r="E12" s="23">
        <f>E8*E10</f>
        <v>10.537877653412734</v>
      </c>
      <c r="F12" s="23">
        <f>F8*F10</f>
        <v>1756.7399221655294</v>
      </c>
      <c r="G12" s="23"/>
      <c r="H12" s="23"/>
      <c r="I12" s="23"/>
      <c r="J12" s="23">
        <f>J8*J10</f>
        <v>81.000901836868323</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0.22411688351015388</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432.80312090962508</v>
      </c>
      <c r="C26" s="243">
        <f>B26*'GWP N2O_CH4'!B5</f>
        <v>9088.8655391021275</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102.08966775926943</v>
      </c>
      <c r="C27" s="243">
        <f>B27*'GWP N2O_CH4'!B5</f>
        <v>2143.883022944658</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6.3279191112730357</v>
      </c>
      <c r="C28" s="243">
        <f>B28*'GWP N2O_CH4'!B4</f>
        <v>1961.6549244946411</v>
      </c>
      <c r="D28" s="50"/>
    </row>
    <row r="29" spans="1:4">
      <c r="A29" s="41" t="s">
        <v>271</v>
      </c>
      <c r="B29" s="243">
        <f>B34*'ha_N2O bodem landbouw'!B4</f>
        <v>12.786974478293734</v>
      </c>
      <c r="C29" s="243">
        <f>B29*'GWP N2O_CH4'!B4</f>
        <v>3963.9620882710578</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2.9179435100722159E-3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2.436094285376314E-4</v>
      </c>
      <c r="C5" s="431" t="s">
        <v>210</v>
      </c>
      <c r="D5" s="416">
        <f>SUM(D6:D11)</f>
        <v>4.0579851746366498E-4</v>
      </c>
      <c r="E5" s="416">
        <f>SUM(E6:E11)</f>
        <v>7.4427252092092513E-4</v>
      </c>
      <c r="F5" s="429" t="s">
        <v>210</v>
      </c>
      <c r="G5" s="416">
        <f>SUM(G6:G11)</f>
        <v>0.34765595958947065</v>
      </c>
      <c r="H5" s="416">
        <f>SUM(H6:H11)</f>
        <v>6.5873124226070764E-2</v>
      </c>
      <c r="I5" s="431" t="s">
        <v>210</v>
      </c>
      <c r="J5" s="431" t="s">
        <v>210</v>
      </c>
      <c r="K5" s="431" t="s">
        <v>210</v>
      </c>
      <c r="L5" s="431" t="s">
        <v>210</v>
      </c>
      <c r="M5" s="416">
        <f>SUM(M6:M11)</f>
        <v>2.2251260834423286E-2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1.0473494186957981E-4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1.7607785484958428E-4</v>
      </c>
      <c r="E6" s="859">
        <f>vkm_GW_PW*SUMIFS(TableVerdeelsleutelVkm[LPG],TableVerdeelsleutelVkm[Voertuigtype],"Lichte voertuigen")*SUMIFS(TableECFTransport[EnergieConsumptieFactor (PJ per km)],TableECFTransport[Index],CONCATENATE($A6,"_LPG_LPG"))</f>
        <v>3.0981049403154136E-4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9.1919876569632811E-2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2.8447772617641701E-2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6.2079851539632025E-3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1.5695099982964308E-6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5.0413318146538322E-2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8.2252286404029071E-7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2.945425530987718E-3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5.8367773533763971E-5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1.2581976210380131E-4</v>
      </c>
      <c r="E8" s="419">
        <f>vkm_NGW_PW*SUMIFS(TableVerdeelsleutelVkm[LPG],TableVerdeelsleutelVkm[Voertuigtype],"Lichte voertuigen")*SUMIFS(TableECFTransport[EnergieConsumptieFactor (PJ per km)],TableECFTransport[Index],CONCATENATE($A8,"_LPG_LPG"))</f>
        <v>2.119920698054679E-4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5.8490584239319944E-2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1.9909939482871869E-2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4.0035053813515069E-3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2.7148979933684199E-7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1.1188806920930229E-2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1.7173303895571392E-7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6.5371181107758581E-4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7.6206403148685735E-5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1.0390090051027937E-4</v>
      </c>
      <c r="E10" s="419">
        <f>vkm_SW_PW*SUMIFS(TableVerdeelsleutelVkm[LPG],TableVerdeelsleutelVkm[Voertuigtype],"Lichte voertuigen")*SUMIFS(TableECFTransport[EnergieConsumptieFactor (PJ per km)],TableECFTransport[Index],CONCATENATE($A10,"_LPG_LPG"))</f>
        <v>2.2246995708391593E-4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6.0402822543784644E-2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1.7513091307385046E-2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4.0446599200872797E-3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2.4593101879686018E-6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7.5240551169264744E-2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1.3265622691561223E-6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4.3959730369559939E-3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67.669285704897618</v>
      </c>
      <c r="C14" s="21"/>
      <c r="D14" s="21">
        <f t="shared" ref="D14:M14" si="0">((D5)*10^9/3600)+D12</f>
        <v>112.72181040657361</v>
      </c>
      <c r="E14" s="21">
        <f t="shared" si="0"/>
        <v>206.74236692247922</v>
      </c>
      <c r="F14" s="21"/>
      <c r="G14" s="21">
        <f t="shared" si="0"/>
        <v>96571.099885964068</v>
      </c>
      <c r="H14" s="21">
        <f t="shared" si="0"/>
        <v>18298.090062797433</v>
      </c>
      <c r="I14" s="21"/>
      <c r="J14" s="21"/>
      <c r="K14" s="21"/>
      <c r="L14" s="21"/>
      <c r="M14" s="21">
        <f t="shared" si="0"/>
        <v>6180.9057873398015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0.17971744439575107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12.161351090970131</v>
      </c>
      <c r="C18" s="23"/>
      <c r="D18" s="23">
        <f t="shared" ref="D18:M18" si="1">D14*D16</f>
        <v>22.769805702127872</v>
      </c>
      <c r="E18" s="23">
        <f t="shared" si="1"/>
        <v>46.930517291402786</v>
      </c>
      <c r="F18" s="23"/>
      <c r="G18" s="23">
        <f t="shared" si="1"/>
        <v>25784.483669552406</v>
      </c>
      <c r="H18" s="23">
        <f t="shared" si="1"/>
        <v>4556.2244256365611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9.5237071080529141E-6</v>
      </c>
      <c r="C50" s="313">
        <f t="shared" ref="C50:P50" si="2">SUM(C51:C52)</f>
        <v>0</v>
      </c>
      <c r="D50" s="313">
        <f t="shared" si="2"/>
        <v>0</v>
      </c>
      <c r="E50" s="313">
        <f t="shared" si="2"/>
        <v>0</v>
      </c>
      <c r="F50" s="313">
        <f t="shared" si="2"/>
        <v>0</v>
      </c>
      <c r="G50" s="313">
        <f t="shared" si="2"/>
        <v>8.9465775147375094E-4</v>
      </c>
      <c r="H50" s="313">
        <f t="shared" si="2"/>
        <v>0</v>
      </c>
      <c r="I50" s="313">
        <f t="shared" si="2"/>
        <v>0</v>
      </c>
      <c r="J50" s="313">
        <f t="shared" si="2"/>
        <v>0</v>
      </c>
      <c r="K50" s="313">
        <f t="shared" si="2"/>
        <v>0</v>
      </c>
      <c r="L50" s="313">
        <f t="shared" si="2"/>
        <v>0</v>
      </c>
      <c r="M50" s="313">
        <f t="shared" si="2"/>
        <v>5.1520653683136755E-5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9.5237071080529141E-6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8.9465775147375094E-4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5.1520653683136755E-5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2.6454741966813651</v>
      </c>
      <c r="C54" s="21">
        <f t="shared" ref="C54:P54" si="3">(C50)*10^9/3600</f>
        <v>0</v>
      </c>
      <c r="D54" s="21">
        <f t="shared" si="3"/>
        <v>0</v>
      </c>
      <c r="E54" s="21">
        <f t="shared" si="3"/>
        <v>0</v>
      </c>
      <c r="F54" s="21">
        <f t="shared" si="3"/>
        <v>0</v>
      </c>
      <c r="G54" s="21">
        <f t="shared" si="3"/>
        <v>248.51604207604191</v>
      </c>
      <c r="H54" s="21">
        <f t="shared" si="3"/>
        <v>0</v>
      </c>
      <c r="I54" s="21">
        <f t="shared" si="3"/>
        <v>0</v>
      </c>
      <c r="J54" s="21">
        <f t="shared" si="3"/>
        <v>0</v>
      </c>
      <c r="K54" s="21">
        <f t="shared" si="3"/>
        <v>0</v>
      </c>
      <c r="L54" s="21">
        <f t="shared" si="3"/>
        <v>0</v>
      </c>
      <c r="M54" s="21">
        <f t="shared" si="3"/>
        <v>14.31129268976021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0.17971744439575107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0.47543786184247749</v>
      </c>
      <c r="C58" s="23">
        <f t="shared" ref="C58:P58" ca="1" si="4">C54*C56</f>
        <v>0</v>
      </c>
      <c r="D58" s="23">
        <f t="shared" si="4"/>
        <v>0</v>
      </c>
      <c r="E58" s="23">
        <f t="shared" si="4"/>
        <v>0</v>
      </c>
      <c r="F58" s="23">
        <f t="shared" si="4"/>
        <v>0</v>
      </c>
      <c r="G58" s="23">
        <f t="shared" si="4"/>
        <v>66.353783234303194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18516.317346487296</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6223.7214364322554</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24740.038782919553</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2021-06-29T15:43:45Z</dcterms:modified>
</cp:coreProperties>
</file>