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C6" i="17"/>
  <c r="I9" i="18"/>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<sst xmlns="http://schemas.openxmlformats.org/spreadsheetml/2006/main" count="2476" uniqueCount="902">
  <si>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</si>
  <si>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</si>
  <si>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</si>
  <si>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</si>
  <si>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</si>
  <si>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</si>
  <si>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</si>
  <si>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</si>
  <si>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</si>
  <si>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</si>
  <si>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</si>
  <si>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</si>
  <si>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</si>
  <si>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</si>
  <si>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</si>
  <si>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</si>
  <si>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</si>
  <si>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</si>
  <si>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</si>
  <si>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</si>
  <si>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</si>
  <si>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</si>
  <si>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</si>
  <si>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</si>
  <si>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</si>
  <si>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</si>
  <si>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</si>
  <si>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</si>
  <si>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</si>
  <si>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</si>
  <si>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</si>
  <si>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</si>
  <si>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</si>
  <si>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</si>
  <si>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</si>
  <si>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</si>
  <si>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</si>
  <si>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</si>
  <si>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</si>
  <si>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</si>
  <si>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</si>
  <si>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</si>
  <si>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</si>
  <si>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</si>
  <si>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</si>
  <si>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</si>
  <si>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</si>
  <si>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</si>
  <si>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</si>
  <si>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</si>
  <si>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</si>
  <si>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</si>
  <si>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</si>
  <si>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</si>
  <si>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</si>
  <si>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</si>
  <si>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</si>
  <si>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</si>
  <si>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</si>
  <si>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</si>
  <si>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</si>
  <si>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</si>
  <si>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</si>
  <si>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</si>
  <si>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</si>
  <si>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</si>
  <si>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</si>
  <si>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</si>
  <si>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</si>
  <si>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</si>
  <si>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</si>
  <si>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</si>
  <si>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</si>
  <si>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</si>
  <si>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</si>
  <si>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</si>
  <si>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</si>
  <si>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</si>
  <si>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</si>
  <si>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</si>
  <si>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</si>
  <si>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</si>
  <si>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</si>
  <si>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</si>
  <si>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</si>
  <si>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</si>
  <si>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</si>
  <si>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</si>
  <si>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</si>
  <si>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</si>
  <si>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</si>
  <si>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</si>
  <si>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</si>
  <si>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</si>
  <si>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</si>
  <si>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</si>
  <si>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</si>
  <si>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</si>
  <si>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</si>
  <si>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</si>
  <si>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</si>
  <si>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</si>
  <si>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</si>
  <si>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</si>
  <si>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</si>
  <si>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</si>
  <si>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</si>
  <si>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</si>
  <si>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</si>
  <si>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</si>
  <si>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</si>
  <si>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</si>
  <si>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</si>
  <si>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</si>
  <si>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</si>
  <si>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</si>
  <si>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</si>
  <si>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</si>
  <si>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</si>
  <si>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</si>
  <si>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</si>
  <si>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</si>
  <si>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</si>
  <si>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</si>
  <si>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</si>
  <si>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</si>
  <si>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</si>
  <si>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</si>
  <si>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</si>
  <si>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</si>
  <si>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</si>
  <si>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</si>
  <si>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</si>
  <si>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</si>
  <si>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</si>
  <si>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</si>
  <si>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</si>
  <si>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</si>
  <si>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</si>
  <si>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</si>
  <si>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</si>
  <si>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</si>
  <si>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</si>
  <si>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</si>
  <si>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</si>
  <si>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</si>
  <si>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</si>
  <si>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</si>
  <si>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</si>
  <si>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</si>
  <si>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</si>
  <si>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</si>
  <si>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</si>
  <si>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</si>
  <si>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</si>
  <si>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</si>
  <si>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</si>
  <si>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</si>
  <si>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</si>
  <si>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</si>
  <si>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</si>
  <si>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</si>
  <si>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</si>
  <si>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</si>
  <si>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</si>
  <si>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</si>
  <si>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</si>
  <si>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</si>
  <si>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</si>
  <si>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</si>
  <si>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</si>
  <si>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</si>
  <si>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</si>
  <si>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</si>
  <si>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</si>
  <si>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</si>
  <si>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</si>
  <si>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</si>
  <si>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</si>
  <si>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</si>
  <si>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</si>
  <si>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</si>
  <si>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</si>
  <si>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</si>
  <si>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</si>
  <si>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</si>
  <si>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</si>
  <si>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</si>
  <si>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</si>
  <si>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</si>
  <si>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</si>
  <si>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</si>
  <si>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</si>
  <si>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</si>
  <si>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</si>
  <si>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</si>
  <si>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</si>
  <si>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</si>
  <si>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</si>
  <si>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</si>
  <si>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</si>
  <si>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</si>
  <si>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</si>
  <si>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</si>
  <si>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</si>
  <si>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</si>
  <si>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</si>
  <si>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</si>
  <si>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</si>
  <si>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</si>
  <si>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</si>
  <si>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</si>
  <si>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</si>
  <si>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</si>
  <si>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</si>
  <si>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</si>
  <si>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</si>
  <si>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</si>
  <si>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</si>
  <si>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</si>
  <si>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</si>
  <si>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</si>
  <si>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</si>
  <si>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</si>
  <si>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</si>
  <si>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</si>
  <si>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</si>
  <si>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</si>
  <si>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</si>
  <si>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</si>
  <si>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</si>
  <si>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</si>
  <si>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</si>
  <si>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</si>
  <si>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</si>
  <si>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</si>
  <si>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</si>
  <si>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</si>
  <si>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</si>
  <si>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</si>
  <si>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</si>
  <si>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</si>
  <si>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</si>
  <si>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</si>
  <si>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</si>
  <si>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</si>
  <si>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</si>
  <si>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</si>
  <si>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</si>
  <si>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</si>
  <si>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</si>
  <si>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</si>
  <si>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</si>
  <si>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</si>
  <si>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</si>
  <si>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</si>
  <si>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</si>
  <si>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</si>
  <si>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</si>
  <si>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</si>
  <si>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</si>
  <si>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</si>
  <si>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</si>
  <si>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</si>
  <si>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</si>
  <si>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</si>
  <si>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</si>
  <si>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</si>
  <si>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</si>
  <si>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</si>
  <si>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</si>
  <si>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</si>
  <si>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</si>
  <si>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</si>
  <si>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</si>
  <si>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</si>
  <si>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</si>
  <si>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</si>
  <si>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</si>
  <si>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</si>
  <si>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</si>
  <si>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</si>
  <si>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</si>
  <si>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</si>
  <si>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</si>
  <si>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</si>
  <si>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</si>
  <si>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</si>
  <si>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</si>
  <si>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</si>
  <si>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</si>
  <si>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</si>
  <si>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</si>
  <si>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</si>
  <si>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</si>
  <si>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</si>
  <si>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</si>
  <si>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</si>
  <si>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</si>
  <si>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</si>
  <si>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</si>
  <si>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</si>
  <si>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</si>
  <si>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</si>
  <si>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</si>
  <si>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</si>
  <si>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</si>
  <si>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</si>
  <si>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</si>
  <si>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</si>
  <si>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</si>
  <si>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</si>
  <si>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</si>
  <si>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</si>
  <si>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</si>
  <si>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</si>
  <si>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</si>
  <si>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</si>
  <si>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</si>
  <si>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</si>
  <si>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</si>
  <si>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</si>
  <si>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</si>
  <si>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</si>
  <si>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</si>
  <si>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</si>
  <si>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</si>
  <si>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</si>
  <si>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</si>
  <si>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</si>
  <si>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</si>
  <si>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</si>
  <si>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</si>
  <si>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</si>
  <si>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</si>
  <si>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</si>
  <si>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</si>
  <si>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</si>
  <si>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</si>
  <si>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</si>
  <si>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</si>
  <si>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</si>
  <si>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</si>
  <si>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</si>
  <si>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</si>
  <si>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</si>
  <si>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</si>
  <si>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</si>
  <si>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</si>
  <si>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</si>
  <si>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</si>
  <si>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</si>
  <si>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</si>
  <si>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</si>
  <si>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</si>
  <si>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</si>
  <si>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</si>
  <si>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</si>
  <si>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</si>
  <si>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</si>
  <si>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</si>
  <si>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</si>
  <si>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</si>
  <si>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</si>
  <si>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</si>
  <si>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</si>
  <si>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</si>
  <si>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</si>
  <si>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</si>
  <si>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</si>
  <si>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</si>
  <si>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</si>
  <si>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</si>
  <si>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</si>
  <si>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</si>
  <si>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</si>
  <si>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</si>
  <si>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</si>
  <si>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</si>
  <si>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</si>
  <si>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</si>
  <si>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</si>
  <si>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</si>
  <si>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</si>
  <si>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</si>
  <si>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</si>
  <si>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</si>
  <si>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</si>
  <si>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</si>
  <si>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</si>
  <si>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</si>
  <si>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</si>
  <si>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</si>
  <si>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</si>
  <si>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</si>
  <si>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</si>
  <si>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</si>
  <si>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</si>
  <si>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</si>
  <si>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</si>
  <si>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</si>
  <si>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</si>
  <si>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</si>
  <si>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</si>
  <si>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</si>
  <si>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</si>
  <si>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</si>
  <si>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</si>
  <si>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</si>
  <si>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</si>
  <si>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</si>
  <si>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</si>
  <si>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</si>
  <si>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</si>
  <si>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</si>
  <si>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</si>
  <si>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</si>
  <si>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</si>
  <si>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</si>
  <si>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</si>
  <si>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</si>
  <si>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</si>
  <si>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</si>
  <si>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</si>
  <si>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</si>
  <si>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</si>
  <si>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</si>
  <si>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</si>
  <si>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</si>
  <si>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</si>
  <si>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</si>
  <si>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</si>
  <si>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</si>
  <si>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</si>
  <si>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</si>
  <si>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</si>
  <si>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</si>
  <si>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</si>
  <si>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</si>
  <si>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</si>
  <si>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</si>
  <si>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</si>
  <si>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</si>
  <si>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</si>
  <si>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</si>
  <si>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</si>
  <si>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</si>
  <si>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</si>
  <si>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</si>
  <si>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</si>
  <si>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</si>
  <si>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</si>
  <si>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</si>
  <si>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</si>
  <si>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</si>
  <si>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</si>
  <si>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</si>
  <si>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</si>
  <si>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</si>
  <si>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</si>
  <si>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</si>
  <si>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</si>
  <si>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</si>
  <si>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</si>
  <si>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</si>
  <si>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</si>
  <si>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</si>
  <si>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</si>
  <si>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</si>
  <si>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</si>
  <si>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</si>
  <si>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</si>
  <si>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</si>
  <si>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</si>
  <si>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</si>
  <si>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</si>
  <si>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</si>
  <si>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</si>
  <si>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</si>
  <si>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</si>
  <si>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</si>
  <si>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</si>
  <si>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</si>
  <si>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</si>
  <si>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</si>
  <si>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</si>
  <si>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</si>
  <si>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</si>
  <si>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</si>
  <si>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</si>
  <si>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</si>
  <si>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</si>
  <si>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</si>
  <si>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</si>
  <si>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</si>
  <si>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</si>
  <si>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</si>
  <si>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</si>
  <si>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</si>
  <si>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</si>
  <si>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</si>
  <si>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</si>
  <si>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</si>
  <si>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</si>
  <si>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</si>
  <si>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</si>
  <si>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</si>
  <si>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</si>
  <si>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</si>
  <si>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</si>
  <si>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</si>
  <si>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</si>
  <si>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</si>
  <si>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</si>
  <si>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</si>
  <si>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</si>
  <si>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</si>
  <si>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</si>
  <si>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</si>
  <si>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</si>
  <si>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</si>
  <si>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</si>
  <si>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</si>
  <si>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</si>
  <si>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</si>
  <si>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</si>
  <si>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</si>
  <si>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</si>
  <si>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</si>
  <si>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</si>
  <si>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</si>
  <si>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</si>
  <si>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</si>
  <si>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</si>
  <si>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</si>
  <si>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</si>
  <si>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</si>
  <si>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</si>
  <si>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</si>
  <si>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</si>
  <si>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</si>
  <si>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</si>
  <si>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</si>
  <si>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</si>
  <si>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</si>
  <si>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</si>
  <si>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</si>
  <si>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</si>
  <si>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</si>
  <si>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</si>
  <si>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</si>
  <si>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</si>
  <si>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</si>
  <si>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</si>
  <si>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</si>
  <si>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</si>
  <si>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</si>
  <si>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</si>
  <si>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</si>
  <si>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</si>
  <si>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</si>
  <si>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</si>
  <si>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</si>
  <si>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</si>
  <si>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</si>
  <si>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</si>
  <si>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</si>
  <si>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</si>
  <si>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</si>
  <si>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</si>
  <si>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</si>
  <si>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</si>
  <si>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</si>
  <si>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</si>
  <si>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</si>
  <si>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</si>
  <si>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</si>
  <si>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</si>
  <si>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</si>
  <si>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</si>
  <si>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</si>
  <si>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</si>
  <si>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</si>
  <si>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</si>
  <si>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</si>
  <si>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</si>
  <si>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</si>
  <si>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</si>
  <si>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</si>
  <si>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</si>
  <si>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</si>
  <si>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</si>
  <si>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</si>
  <si>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</si>
  <si>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</si>
  <si>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</si>
  <si>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</si>
  <si>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</si>
  <si>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</si>
  <si>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</si>
  <si>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</si>
  <si>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</si>
  <si>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</si>
  <si>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</si>
  <si>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</si>
  <si>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</si>
  <si>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</si>
  <si>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</si>
  <si>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</si>
  <si>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</si>
  <si>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</si>
  <si>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</si>
  <si>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</si>
  <si>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</si>
  <si>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</si>
  <si>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</si>
  <si>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</si>
  <si>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</si>
  <si>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</si>
  <si>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</si>
  <si>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</si>
  <si>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</si>
  <si>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</si>
  <si>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</si>
  <si>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</si>
  <si>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</si>
  <si>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</si>
  <si>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</si>
  <si>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</si>
  <si>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</si>
  <si>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</si>
  <si>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</si>
  <si>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</si>
  <si>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</si>
  <si>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</si>
  <si>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</si>
  <si>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</si>
  <si>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</si>
  <si>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</si>
  <si>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</si>
  <si>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</si>
  <si>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</si>
  <si>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</si>
  <si>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</si>
  <si>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</si>
  <si>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</si>
  <si>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</si>
  <si>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</si>
  <si>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</si>
  <si>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</si>
  <si>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</si>
  <si>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</si>
  <si>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</si>
  <si>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</si>
  <si>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</si>
  <si>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</si>
  <si>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</si>
  <si>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</si>
  <si>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</si>
  <si>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</si>
  <si>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</si>
  <si>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</si>
  <si>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</si>
  <si>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</si>
  <si>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</si>
  <si>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</si>
  <si>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</si>
  <si>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</si>
  <si>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</si>
  <si>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</si>
  <si>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</si>
  <si>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</si>
  <si>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</si>
  <si>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</si>
  <si>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</si>
  <si>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</si>
  <si>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</si>
  <si>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</si>
  <si>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</si>
  <si>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</si>
  <si>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</si>
  <si>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</si>
  <si>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</si>
  <si>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</si>
  <si>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</si>
  <si>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</si>
  <si>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</si>
  <si>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</si>
  <si>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</si>
  <si>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</si>
  <si>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</si>
  <si>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</si>
  <si>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</si>
  <si>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</si>
  <si>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</si>
  <si>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</si>
  <si>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</si>
  <si>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</si>
  <si>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</si>
  <si>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</si>
  <si>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</si>
  <si>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</si>
  <si>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</si>
  <si>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</si>
  <si>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</si>
  <si>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</si>
  <si>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</si>
  <si>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</si>
  <si>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</si>
  <si>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</si>
  <si>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</si>
  <si>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</si>
  <si>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</si>
  <si>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</si>
  <si>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</si>
  <si>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</si>
  <si>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</si>
  <si>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</si>
  <si>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</si>
  <si>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</si>
  <si>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</si>
  <si>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</si>
  <si>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</si>
  <si>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</si>
  <si>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</si>
  <si>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</si>
  <si>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</si>
  <si>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</si>
  <si>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</si>
  <si>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</si>
  <si>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</si>
  <si>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</si>
  <si>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</si>
  <si>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</si>
  <si>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</si>
  <si>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</si>
  <si>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</si>
  <si>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</si>
  <si>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</si>
  <si>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</si>
  <si>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</si>
  <si>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</si>
  <si>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</si>
  <si>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</si>
  <si>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</si>
  <si>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</si>
  <si>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</si>
  <si>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</si>
  <si>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</si>
  <si>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</si>
  <si>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</si>
  <si>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</si>
  <si>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</si>
  <si>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</si>
  <si>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</si>
  <si>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</si>
  <si>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</si>
  <si>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</si>
  <si>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</si>
  <si>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</si>
  <si>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</si>
  <si>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</si>
  <si>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</si>
  <si>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</si>
  <si>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</si>
  <si>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</si>
  <si>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</si>
  <si>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</si>
  <si>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</si>
  <si>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</si>
  <si>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</si>
  <si>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</si>
  <si>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</si>
  <si>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</si>
  <si>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</si>
  <si>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</si>
  <si>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</si>
  <si>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</si>
  <si>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</si>
  <si>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</si>
  <si>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</si>
  <si>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</si>
  <si>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</si>
  <si>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</si>
  <si>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</si>
  <si>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</si>
  <si>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</si>
  <si>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</si>
  <si>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</si>
  <si>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</si>
  <si>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</si>
  <si>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</si>
  <si>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</si>
  <si>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</si>
  <si>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</si>
  <si>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</si>
  <si>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</si>
  <si>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</si>
  <si>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</si>
  <si>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</si>
  <si>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</si>
  <si>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</si>
  <si>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</si>
  <si>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</si>
  <si>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</si>
  <si>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</si>
  <si>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</si>
  <si>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</si>
  <si>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</si>
  <si>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</si>
  <si>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</si>
  <si>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</si>
  <si>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</si>
  <si>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</si>
  <si>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</si>
  <si>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</si>
  <si>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</si>
  <si>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</si>
  <si>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</si>
  <si>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</si>
  <si>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</si>
  <si>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</si>
  <si>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</si>
  <si>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</si>
  <si>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</si>
  <si>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</si>
  <si>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</si>
  <si>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</si>
  <si>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</si>
  <si>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</si>
  <si>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</si>
  <si>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</si>
  <si>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</si>
  <si>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</si>
  <si>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</si>
  <si>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</si>
  <si>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</si>
  <si>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</si>
  <si>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</si>
  <si>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</si>
  <si>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</si>
  <si>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</si>
  <si>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</si>
  <si>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</si>
  <si>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</si>
  <si>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</si>
  <si>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</si>
  <si>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</si>
  <si>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</si>
  <si>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</si>
  <si>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</si>
  <si>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</si>
  <si>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</si>
  <si>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</si>
  <si>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</si>
  <si>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</si>
  <si>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</si>
  <si>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</si>
  <si>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</si>
  <si>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</si>
  <si>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</si>
  <si>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</si>
  <si>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</si>
  <si>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</si>
  <si>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</si>
  <si>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</si>
  <si>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</si>
  <si>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</si>
  <si>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</si>
  <si>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</si>
  <si>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</si>
  <si>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</si>
  <si>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</si>
  <si>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</si>
  <si>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</si>
  <si>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</si>
  <si>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</si>
  <si>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</si>
  <si>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</si>
  <si>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</si>
  <si>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</si>
  <si>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</si>
  <si>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</si>
  <si>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</si>
  <si>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</si>
  <si>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</si>
  <si>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</si>
  <si>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</si>
  <si>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</si>
  <si>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</si>
  <si>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</si>
  <si>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</si>
  <si>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</si>
  <si>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</si>
  <si>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</si>
  <si>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</si>
  <si>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</si>
  <si>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</si>
  <si>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42004</t>
  </si>
  <si>
    <t>BUGGENHOUT</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</si>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</sst>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128275.01254606333</c:v>
                </c:pt>
                <c:pt idx="1">
                  <c:v>61849.521166817525</c:v>
                </c:pt>
                <c:pt idx="2">
                  <c:v>907.21100000000001</c:v>
                </c:pt>
                <c:pt idx="3">
                  <c:v>3185.8043579497494</c:v>
                </c:pt>
                <c:pt idx="4">
                  <c:v>113332.10221686169</c:v>
                </c:pt>
                <c:pt idx="5">
                  <c:v>72164.289257058655</c:v>
                </c:pt>
                <c:pt idx="6">
                  <c:v>452.6402389999206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128275.01254606333</c:v>
                </c:pt>
                <c:pt idx="1">
                  <c:v>61849.521166817525</c:v>
                </c:pt>
                <c:pt idx="2">
                  <c:v>907.21100000000001</c:v>
                </c:pt>
                <c:pt idx="3">
                  <c:v>3185.8043579497494</c:v>
                </c:pt>
                <c:pt idx="4">
                  <c:v>113332.10221686169</c:v>
                </c:pt>
                <c:pt idx="5">
                  <c:v>72164.289257058655</c:v>
                </c:pt>
                <c:pt idx="6">
                  <c:v>452.6402389999206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26548.814114203658</c:v>
                </c:pt>
                <c:pt idx="2">
                  <c:v>10681.465351368881</c:v>
                </c:pt>
                <c:pt idx="3">
                  <c:v>189.04512667889392</c:v>
                </c:pt>
                <c:pt idx="4">
                  <c:v>805.95145150959593</c:v>
                </c:pt>
                <c:pt idx="5">
                  <c:v>23311.501251210582</c:v>
                </c:pt>
                <c:pt idx="6">
                  <c:v>18039.86271574346</c:v>
                </c:pt>
                <c:pt idx="7">
                  <c:v>114.07540119622232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26548.814114203658</c:v>
                </c:pt>
                <c:pt idx="2">
                  <c:v>10681.465351368881</c:v>
                </c:pt>
                <c:pt idx="3">
                  <c:v>189.04512667889392</c:v>
                </c:pt>
                <c:pt idx="4">
                  <c:v>805.95145150959593</c:v>
                </c:pt>
                <c:pt idx="5">
                  <c:v>23311.501251210582</c:v>
                </c:pt>
                <c:pt idx="6">
                  <c:v>18039.86271574346</c:v>
                </c:pt>
                <c:pt idx="7">
                  <c:v>114.07540119622232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42004</v>
      </c>
      <c r="B6" s="384"/>
      <c r="C6" s="385"/>
    </row>
    <row r="7" spans="1:7" s="382" customFormat="1" ht="15.75" customHeight="1">
      <c r="A7" s="386" t="str">
        <f>txtMunicipality</f>
        <v>BUGGENHOUT</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28831.984250514808</v>
      </c>
      <c r="D10" s="973">
        <f ca="1">tertiair!C16</f>
        <v>0</v>
      </c>
      <c r="E10" s="973">
        <f ca="1">tertiair!D16</f>
        <v>15917.399646335976</v>
      </c>
      <c r="F10" s="973">
        <f>tertiair!E16</f>
        <v>266.34319183088979</v>
      </c>
      <c r="G10" s="973">
        <f ca="1">tertiair!F16</f>
        <v>5942.3427318658059</v>
      </c>
      <c r="H10" s="973">
        <f>tertiair!G16</f>
        <v>0</v>
      </c>
      <c r="I10" s="973">
        <f>tertiair!H16</f>
        <v>0</v>
      </c>
      <c r="J10" s="973">
        <f>tertiair!I16</f>
        <v>0</v>
      </c>
      <c r="K10" s="973">
        <f>tertiair!J16</f>
        <v>0.29834651737960921</v>
      </c>
      <c r="L10" s="973">
        <f>tertiair!K16</f>
        <v>0</v>
      </c>
      <c r="M10" s="973">
        <f ca="1">tertiair!L16</f>
        <v>0</v>
      </c>
      <c r="N10" s="973">
        <f>tertiair!M16</f>
        <v>0</v>
      </c>
      <c r="O10" s="973">
        <f ca="1">tertiair!N16</f>
        <v>11699.903999752665</v>
      </c>
      <c r="P10" s="973">
        <f>tertiair!O16</f>
        <v>3.1266666666666669</v>
      </c>
      <c r="Q10" s="974">
        <f>tertiair!P16</f>
        <v>95.333333333333343</v>
      </c>
      <c r="R10" s="668">
        <f ca="1">SUM(C10:Q10)</f>
        <v>62756.732166817528</v>
      </c>
      <c r="S10" s="67"/>
    </row>
    <row r="11" spans="1:19" s="441" customFormat="1">
      <c r="A11" s="777" t="s">
        <v>219</v>
      </c>
      <c r="B11" s="782"/>
      <c r="C11" s="973">
        <f>huishoudens!B8</f>
        <v>26505.286762787786</v>
      </c>
      <c r="D11" s="973">
        <f>huishoudens!C8</f>
        <v>0</v>
      </c>
      <c r="E11" s="973">
        <f>huishoudens!D8</f>
        <v>52606.461188963993</v>
      </c>
      <c r="F11" s="973">
        <f>huishoudens!E8</f>
        <v>1478.2526269976067</v>
      </c>
      <c r="G11" s="973">
        <f>huishoudens!F8</f>
        <v>37452.295272590491</v>
      </c>
      <c r="H11" s="973">
        <f>huishoudens!G8</f>
        <v>0</v>
      </c>
      <c r="I11" s="973">
        <f>huishoudens!H8</f>
        <v>0</v>
      </c>
      <c r="J11" s="973">
        <f>huishoudens!I8</f>
        <v>0</v>
      </c>
      <c r="K11" s="973">
        <f>huishoudens!J8</f>
        <v>180.21624303365954</v>
      </c>
      <c r="L11" s="973">
        <f>huishoudens!K8</f>
        <v>0</v>
      </c>
      <c r="M11" s="973">
        <f>huishoudens!L8</f>
        <v>0</v>
      </c>
      <c r="N11" s="973">
        <f>huishoudens!M8</f>
        <v>0</v>
      </c>
      <c r="O11" s="973">
        <f>huishoudens!N8</f>
        <v>8851.853785023126</v>
      </c>
      <c r="P11" s="973">
        <f>huishoudens!O8</f>
        <v>228.2466666666667</v>
      </c>
      <c r="Q11" s="974">
        <f>huishoudens!P8</f>
        <v>972.4</v>
      </c>
      <c r="R11" s="668">
        <f>SUM(C11:Q11)</f>
        <v>128275.01254606333</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63550.970020670225</v>
      </c>
      <c r="D13" s="973">
        <f>industrie!C18</f>
        <v>0</v>
      </c>
      <c r="E13" s="973">
        <f>industrie!D18</f>
        <v>29932.170802890287</v>
      </c>
      <c r="F13" s="973">
        <f>industrie!E18</f>
        <v>3218.2548520986043</v>
      </c>
      <c r="G13" s="973">
        <f>industrie!F18</f>
        <v>12072.184210279371</v>
      </c>
      <c r="H13" s="973">
        <f>industrie!G18</f>
        <v>0</v>
      </c>
      <c r="I13" s="973">
        <f>industrie!H18</f>
        <v>0</v>
      </c>
      <c r="J13" s="973">
        <f>industrie!I18</f>
        <v>0</v>
      </c>
      <c r="K13" s="973">
        <f>industrie!J18</f>
        <v>193.78435095963761</v>
      </c>
      <c r="L13" s="973">
        <f>industrie!K18</f>
        <v>0</v>
      </c>
      <c r="M13" s="973">
        <f>industrie!L18</f>
        <v>0</v>
      </c>
      <c r="N13" s="973">
        <f>industrie!M18</f>
        <v>0</v>
      </c>
      <c r="O13" s="973">
        <f>industrie!N18</f>
        <v>4364.7379799635664</v>
      </c>
      <c r="P13" s="973">
        <f>industrie!O18</f>
        <v>0</v>
      </c>
      <c r="Q13" s="974">
        <f>industrie!P18</f>
        <v>0</v>
      </c>
      <c r="R13" s="668">
        <f>SUM(C13:Q13)</f>
        <v>113332.10221686169</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118888.24103397282</v>
      </c>
      <c r="D16" s="700">
        <f t="shared" ref="D16:R16" ca="1" si="0">SUM(D9:D15)</f>
        <v>0</v>
      </c>
      <c r="E16" s="700">
        <f t="shared" ca="1" si="0"/>
        <v>98456.031638190267</v>
      </c>
      <c r="F16" s="700">
        <f t="shared" si="0"/>
        <v>4962.8506709271005</v>
      </c>
      <c r="G16" s="700">
        <f t="shared" ca="1" si="0"/>
        <v>55466.822214735672</v>
      </c>
      <c r="H16" s="700">
        <f t="shared" si="0"/>
        <v>0</v>
      </c>
      <c r="I16" s="700">
        <f t="shared" si="0"/>
        <v>0</v>
      </c>
      <c r="J16" s="700">
        <f t="shared" si="0"/>
        <v>0</v>
      </c>
      <c r="K16" s="700">
        <f t="shared" si="0"/>
        <v>374.29894051067674</v>
      </c>
      <c r="L16" s="700">
        <f t="shared" si="0"/>
        <v>0</v>
      </c>
      <c r="M16" s="700">
        <f t="shared" ca="1" si="0"/>
        <v>0</v>
      </c>
      <c r="N16" s="700">
        <f t="shared" si="0"/>
        <v>0</v>
      </c>
      <c r="O16" s="700">
        <f t="shared" ca="1" si="0"/>
        <v>24916.49576473936</v>
      </c>
      <c r="P16" s="700">
        <f t="shared" si="0"/>
        <v>231.37333333333336</v>
      </c>
      <c r="Q16" s="700">
        <f t="shared" si="0"/>
        <v>1067.7333333333333</v>
      </c>
      <c r="R16" s="700">
        <f t="shared" ca="1" si="0"/>
        <v>304363.84692974255</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4.5106241853311575</v>
      </c>
      <c r="D19" s="973">
        <f>transport!C54</f>
        <v>0</v>
      </c>
      <c r="E19" s="973">
        <f>transport!D54</f>
        <v>0</v>
      </c>
      <c r="F19" s="973">
        <f>transport!E54</f>
        <v>0</v>
      </c>
      <c r="G19" s="973">
        <f>transport!F54</f>
        <v>0</v>
      </c>
      <c r="H19" s="973">
        <f>transport!G54</f>
        <v>423.72837022457821</v>
      </c>
      <c r="I19" s="973">
        <f>transport!H54</f>
        <v>0</v>
      </c>
      <c r="J19" s="973">
        <f>transport!I54</f>
        <v>0</v>
      </c>
      <c r="K19" s="973">
        <f>transport!J54</f>
        <v>0</v>
      </c>
      <c r="L19" s="973">
        <f>transport!K54</f>
        <v>0</v>
      </c>
      <c r="M19" s="973">
        <f>transport!L54</f>
        <v>0</v>
      </c>
      <c r="N19" s="973">
        <f>transport!M54</f>
        <v>24.401244590011206</v>
      </c>
      <c r="O19" s="973">
        <f>transport!N54</f>
        <v>0</v>
      </c>
      <c r="P19" s="973">
        <f>transport!O54</f>
        <v>0</v>
      </c>
      <c r="Q19" s="974">
        <f>transport!P54</f>
        <v>0</v>
      </c>
      <c r="R19" s="668">
        <f>SUM(C19:Q19)</f>
        <v>452.6402389999206</v>
      </c>
      <c r="S19" s="67"/>
    </row>
    <row r="20" spans="1:19" s="441" customFormat="1">
      <c r="A20" s="777" t="s">
        <v>301</v>
      </c>
      <c r="B20" s="782"/>
      <c r="C20" s="973">
        <f>transport!B14</f>
        <v>44.881335188886105</v>
      </c>
      <c r="D20" s="973">
        <f>transport!C14</f>
        <v>0</v>
      </c>
      <c r="E20" s="973">
        <f>transport!D14</f>
        <v>90.638443813501908</v>
      </c>
      <c r="F20" s="973">
        <f>transport!E14</f>
        <v>154.1643107599705</v>
      </c>
      <c r="G20" s="973">
        <f>transport!F14</f>
        <v>0</v>
      </c>
      <c r="H20" s="973">
        <f>transport!G14</f>
        <v>53894.200179269283</v>
      </c>
      <c r="I20" s="973">
        <f>transport!H14</f>
        <v>14407.4482184636</v>
      </c>
      <c r="J20" s="973">
        <f>transport!I14</f>
        <v>0</v>
      </c>
      <c r="K20" s="973">
        <f>transport!J14</f>
        <v>0</v>
      </c>
      <c r="L20" s="973">
        <f>transport!K14</f>
        <v>0</v>
      </c>
      <c r="M20" s="973">
        <f>transport!L14</f>
        <v>0</v>
      </c>
      <c r="N20" s="973">
        <f>transport!M14</f>
        <v>3572.9567695634237</v>
      </c>
      <c r="O20" s="973">
        <f>transport!N14</f>
        <v>0</v>
      </c>
      <c r="P20" s="973">
        <f>transport!O14</f>
        <v>0</v>
      </c>
      <c r="Q20" s="974">
        <f>transport!P14</f>
        <v>0</v>
      </c>
      <c r="R20" s="668">
        <f>SUM(C20:Q20)</f>
        <v>72164.289257058655</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49.391959374217265</v>
      </c>
      <c r="D22" s="780">
        <f t="shared" ref="D22:R22" si="1">SUM(D18:D21)</f>
        <v>0</v>
      </c>
      <c r="E22" s="780">
        <f t="shared" si="1"/>
        <v>90.638443813501908</v>
      </c>
      <c r="F22" s="780">
        <f t="shared" si="1"/>
        <v>154.1643107599705</v>
      </c>
      <c r="G22" s="780">
        <f t="shared" si="1"/>
        <v>0</v>
      </c>
      <c r="H22" s="780">
        <f t="shared" si="1"/>
        <v>54317.928549493859</v>
      </c>
      <c r="I22" s="780">
        <f t="shared" si="1"/>
        <v>14407.4482184636</v>
      </c>
      <c r="J22" s="780">
        <f t="shared" si="1"/>
        <v>0</v>
      </c>
      <c r="K22" s="780">
        <f t="shared" si="1"/>
        <v>0</v>
      </c>
      <c r="L22" s="780">
        <f t="shared" si="1"/>
        <v>0</v>
      </c>
      <c r="M22" s="780">
        <f t="shared" si="1"/>
        <v>0</v>
      </c>
      <c r="N22" s="780">
        <f t="shared" si="1"/>
        <v>3597.3580141534349</v>
      </c>
      <c r="O22" s="780">
        <f t="shared" si="1"/>
        <v>0</v>
      </c>
      <c r="P22" s="780">
        <f t="shared" si="1"/>
        <v>0</v>
      </c>
      <c r="Q22" s="780">
        <f t="shared" si="1"/>
        <v>0</v>
      </c>
      <c r="R22" s="780">
        <f t="shared" si="1"/>
        <v>72616.929496058583</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541.53484403657239</v>
      </c>
      <c r="D24" s="973">
        <f>+landbouw!C8</f>
        <v>0</v>
      </c>
      <c r="E24" s="973">
        <f>+landbouw!D8</f>
        <v>293.89048425227975</v>
      </c>
      <c r="F24" s="973">
        <f>+landbouw!E8</f>
        <v>15.917363104560133</v>
      </c>
      <c r="G24" s="973">
        <f>+landbouw!F8</f>
        <v>2256.004897249336</v>
      </c>
      <c r="H24" s="973">
        <f>+landbouw!G8</f>
        <v>0</v>
      </c>
      <c r="I24" s="973">
        <f>+landbouw!H8</f>
        <v>0</v>
      </c>
      <c r="J24" s="973">
        <f>+landbouw!I8</f>
        <v>0</v>
      </c>
      <c r="K24" s="973">
        <f>+landbouw!J8</f>
        <v>78.456769307001011</v>
      </c>
      <c r="L24" s="973">
        <f>+landbouw!K8</f>
        <v>0</v>
      </c>
      <c r="M24" s="973">
        <f>+landbouw!L8</f>
        <v>0</v>
      </c>
      <c r="N24" s="973">
        <f>+landbouw!M8</f>
        <v>0</v>
      </c>
      <c r="O24" s="973">
        <f>+landbouw!N8</f>
        <v>0</v>
      </c>
      <c r="P24" s="973">
        <f>+landbouw!O8</f>
        <v>0</v>
      </c>
      <c r="Q24" s="974">
        <f>+landbouw!P8</f>
        <v>0</v>
      </c>
      <c r="R24" s="668">
        <f>SUM(C24:Q24)</f>
        <v>3185.8043579497494</v>
      </c>
      <c r="S24" s="67"/>
    </row>
    <row r="25" spans="1:19" s="441" customFormat="1" ht="15" thickBot="1">
      <c r="A25" s="799" t="s">
        <v>808</v>
      </c>
      <c r="B25" s="976"/>
      <c r="C25" s="977">
        <f>IF(Onbekend_ele_kWh="---",0,Onbekend_ele_kWh)/1000+IF(REST_rest_ele_kWh="---",0,REST_rest_ele_kWh)/1000</f>
        <v>2056.9801154136499</v>
      </c>
      <c r="D25" s="977"/>
      <c r="E25" s="977">
        <f>IF(onbekend_gas_kWh="---",0,onbekend_gas_kWh)/1000+IF(REST_rest_gas_kWh="---",0,REST_rest_gas_kWh)/1000</f>
        <v>1781.74131281786</v>
      </c>
      <c r="F25" s="977"/>
      <c r="G25" s="977"/>
      <c r="H25" s="977"/>
      <c r="I25" s="977"/>
      <c r="J25" s="977"/>
      <c r="K25" s="977"/>
      <c r="L25" s="977"/>
      <c r="M25" s="977"/>
      <c r="N25" s="977"/>
      <c r="O25" s="977"/>
      <c r="P25" s="977"/>
      <c r="Q25" s="978"/>
      <c r="R25" s="668">
        <f>SUM(C25:Q25)</f>
        <v>3838.7214282315099</v>
      </c>
      <c r="S25" s="67"/>
    </row>
    <row r="26" spans="1:19" s="441" customFormat="1" ht="15.75" thickBot="1">
      <c r="A26" s="673" t="s">
        <v>809</v>
      </c>
      <c r="B26" s="785"/>
      <c r="C26" s="780">
        <f>SUM(C24:C25)</f>
        <v>2598.5149594502222</v>
      </c>
      <c r="D26" s="780">
        <f t="shared" ref="D26:R26" si="2">SUM(D24:D25)</f>
        <v>0</v>
      </c>
      <c r="E26" s="780">
        <f t="shared" si="2"/>
        <v>2075.6317970701398</v>
      </c>
      <c r="F26" s="780">
        <f t="shared" si="2"/>
        <v>15.917363104560133</v>
      </c>
      <c r="G26" s="780">
        <f t="shared" si="2"/>
        <v>2256.004897249336</v>
      </c>
      <c r="H26" s="780">
        <f t="shared" si="2"/>
        <v>0</v>
      </c>
      <c r="I26" s="780">
        <f t="shared" si="2"/>
        <v>0</v>
      </c>
      <c r="J26" s="780">
        <f t="shared" si="2"/>
        <v>0</v>
      </c>
      <c r="K26" s="780">
        <f t="shared" si="2"/>
        <v>78.456769307001011</v>
      </c>
      <c r="L26" s="780">
        <f t="shared" si="2"/>
        <v>0</v>
      </c>
      <c r="M26" s="780">
        <f t="shared" si="2"/>
        <v>0</v>
      </c>
      <c r="N26" s="780">
        <f t="shared" si="2"/>
        <v>0</v>
      </c>
      <c r="O26" s="780">
        <f t="shared" si="2"/>
        <v>0</v>
      </c>
      <c r="P26" s="780">
        <f t="shared" si="2"/>
        <v>0</v>
      </c>
      <c r="Q26" s="780">
        <f t="shared" si="2"/>
        <v>0</v>
      </c>
      <c r="R26" s="780">
        <f t="shared" si="2"/>
        <v>7024.5257861812588</v>
      </c>
      <c r="S26" s="67"/>
    </row>
    <row r="27" spans="1:19" s="441" customFormat="1" ht="17.25" thickTop="1" thickBot="1">
      <c r="A27" s="674" t="s">
        <v>115</v>
      </c>
      <c r="B27" s="773"/>
      <c r="C27" s="675">
        <f ca="1">C22+C16+C26</f>
        <v>121536.14795279727</v>
      </c>
      <c r="D27" s="675">
        <f t="shared" ref="D27:R27" ca="1" si="3">D22+D16+D26</f>
        <v>0</v>
      </c>
      <c r="E27" s="675">
        <f t="shared" ca="1" si="3"/>
        <v>100622.3018790739</v>
      </c>
      <c r="F27" s="675">
        <f t="shared" si="3"/>
        <v>5132.9323447916313</v>
      </c>
      <c r="G27" s="675">
        <f t="shared" ca="1" si="3"/>
        <v>57722.827111985011</v>
      </c>
      <c r="H27" s="675">
        <f t="shared" si="3"/>
        <v>54317.928549493859</v>
      </c>
      <c r="I27" s="675">
        <f t="shared" si="3"/>
        <v>14407.4482184636</v>
      </c>
      <c r="J27" s="675">
        <f t="shared" si="3"/>
        <v>0</v>
      </c>
      <c r="K27" s="675">
        <f t="shared" si="3"/>
        <v>452.75570981767777</v>
      </c>
      <c r="L27" s="675">
        <f t="shared" si="3"/>
        <v>0</v>
      </c>
      <c r="M27" s="675">
        <f t="shared" ca="1" si="3"/>
        <v>0</v>
      </c>
      <c r="N27" s="675">
        <f t="shared" si="3"/>
        <v>3597.3580141534349</v>
      </c>
      <c r="O27" s="675">
        <f t="shared" ca="1" si="3"/>
        <v>24916.49576473936</v>
      </c>
      <c r="P27" s="675">
        <f t="shared" si="3"/>
        <v>231.37333333333336</v>
      </c>
      <c r="Q27" s="675">
        <f t="shared" si="3"/>
        <v>1067.7333333333333</v>
      </c>
      <c r="R27" s="675">
        <f t="shared" ca="1" si="3"/>
        <v>384005.30221198237</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6008.0247208669716</v>
      </c>
      <c r="D40" s="973">
        <f ca="1">tertiair!C20</f>
        <v>0</v>
      </c>
      <c r="E40" s="973">
        <f ca="1">tertiair!D20</f>
        <v>3215.3147285598675</v>
      </c>
      <c r="F40" s="973">
        <f>tertiair!E20</f>
        <v>60.459904545611984</v>
      </c>
      <c r="G40" s="973">
        <f ca="1">tertiair!F20</f>
        <v>1586.6055094081703</v>
      </c>
      <c r="H40" s="973">
        <f>tertiair!G20</f>
        <v>0</v>
      </c>
      <c r="I40" s="973">
        <f>tertiair!H20</f>
        <v>0</v>
      </c>
      <c r="J40" s="973">
        <f>tertiair!I20</f>
        <v>0</v>
      </c>
      <c r="K40" s="973">
        <f>tertiair!J20</f>
        <v>0.10561466715238166</v>
      </c>
      <c r="L40" s="973">
        <f>tertiair!K20</f>
        <v>0</v>
      </c>
      <c r="M40" s="973">
        <f ca="1">tertiair!L20</f>
        <v>0</v>
      </c>
      <c r="N40" s="973">
        <f>tertiair!M20</f>
        <v>0</v>
      </c>
      <c r="O40" s="973">
        <f ca="1">tertiair!N20</f>
        <v>0</v>
      </c>
      <c r="P40" s="973">
        <f>tertiair!O20</f>
        <v>0</v>
      </c>
      <c r="Q40" s="742">
        <f>tertiair!P20</f>
        <v>0</v>
      </c>
      <c r="R40" s="818">
        <f t="shared" ca="1" si="4"/>
        <v>10870.510478047776</v>
      </c>
    </row>
    <row r="41" spans="1:18">
      <c r="A41" s="790" t="s">
        <v>219</v>
      </c>
      <c r="B41" s="797"/>
      <c r="C41" s="973">
        <f ca="1">huishoudens!B12</f>
        <v>5523.1862198888975</v>
      </c>
      <c r="D41" s="973">
        <f ca="1">huishoudens!C12</f>
        <v>0</v>
      </c>
      <c r="E41" s="973">
        <f>huishoudens!D12</f>
        <v>10626.505160170727</v>
      </c>
      <c r="F41" s="973">
        <f>huishoudens!E12</f>
        <v>335.56334632845676</v>
      </c>
      <c r="G41" s="973">
        <f>huishoudens!F12</f>
        <v>9999.7628377816618</v>
      </c>
      <c r="H41" s="973">
        <f>huishoudens!G12</f>
        <v>0</v>
      </c>
      <c r="I41" s="973">
        <f>huishoudens!H12</f>
        <v>0</v>
      </c>
      <c r="J41" s="973">
        <f>huishoudens!I12</f>
        <v>0</v>
      </c>
      <c r="K41" s="973">
        <f>huishoudens!J12</f>
        <v>63.796550033915473</v>
      </c>
      <c r="L41" s="973">
        <f>huishoudens!K12</f>
        <v>0</v>
      </c>
      <c r="M41" s="973">
        <f>huishoudens!L12</f>
        <v>0</v>
      </c>
      <c r="N41" s="973">
        <f>huishoudens!M12</f>
        <v>0</v>
      </c>
      <c r="O41" s="973">
        <f>huishoudens!N12</f>
        <v>0</v>
      </c>
      <c r="P41" s="973">
        <f>huishoudens!O12</f>
        <v>0</v>
      </c>
      <c r="Q41" s="742">
        <f>huishoudens!P12</f>
        <v>0</v>
      </c>
      <c r="R41" s="818">
        <f t="shared" ca="1" si="4"/>
        <v>26548.814114203658</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13242.786053216056</v>
      </c>
      <c r="D43" s="973">
        <f ca="1">industrie!C22</f>
        <v>0</v>
      </c>
      <c r="E43" s="973">
        <f>industrie!D22</f>
        <v>6046.2985021838385</v>
      </c>
      <c r="F43" s="973">
        <f>industrie!E22</f>
        <v>730.54385142638318</v>
      </c>
      <c r="G43" s="973">
        <f>industrie!F22</f>
        <v>3223.2731841445921</v>
      </c>
      <c r="H43" s="973">
        <f>industrie!G22</f>
        <v>0</v>
      </c>
      <c r="I43" s="973">
        <f>industrie!H22</f>
        <v>0</v>
      </c>
      <c r="J43" s="973">
        <f>industrie!I22</f>
        <v>0</v>
      </c>
      <c r="K43" s="973">
        <f>industrie!J22</f>
        <v>68.59966023971171</v>
      </c>
      <c r="L43" s="973">
        <f>industrie!K22</f>
        <v>0</v>
      </c>
      <c r="M43" s="973">
        <f>industrie!L22</f>
        <v>0</v>
      </c>
      <c r="N43" s="973">
        <f>industrie!M22</f>
        <v>0</v>
      </c>
      <c r="O43" s="973">
        <f>industrie!N22</f>
        <v>0</v>
      </c>
      <c r="P43" s="973">
        <f>industrie!O22</f>
        <v>0</v>
      </c>
      <c r="Q43" s="742">
        <f>industrie!P22</f>
        <v>0</v>
      </c>
      <c r="R43" s="817">
        <f t="shared" ca="1" si="4"/>
        <v>23311.501251210582</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24773.996993971923</v>
      </c>
      <c r="D46" s="700">
        <f t="shared" ref="D46:Q46" ca="1" si="5">SUM(D39:D45)</f>
        <v>0</v>
      </c>
      <c r="E46" s="700">
        <f t="shared" ca="1" si="5"/>
        <v>19888.118390914435</v>
      </c>
      <c r="F46" s="700">
        <f t="shared" si="5"/>
        <v>1126.567102300452</v>
      </c>
      <c r="G46" s="700">
        <f t="shared" ca="1" si="5"/>
        <v>14809.641531334426</v>
      </c>
      <c r="H46" s="700">
        <f t="shared" si="5"/>
        <v>0</v>
      </c>
      <c r="I46" s="700">
        <f t="shared" si="5"/>
        <v>0</v>
      </c>
      <c r="J46" s="700">
        <f t="shared" si="5"/>
        <v>0</v>
      </c>
      <c r="K46" s="700">
        <f t="shared" si="5"/>
        <v>132.50182494077956</v>
      </c>
      <c r="L46" s="700">
        <f t="shared" si="5"/>
        <v>0</v>
      </c>
      <c r="M46" s="700">
        <f t="shared" ca="1" si="5"/>
        <v>0</v>
      </c>
      <c r="N46" s="700">
        <f t="shared" si="5"/>
        <v>0</v>
      </c>
      <c r="O46" s="700">
        <f t="shared" ca="1" si="5"/>
        <v>0</v>
      </c>
      <c r="P46" s="700">
        <f t="shared" si="5"/>
        <v>0</v>
      </c>
      <c r="Q46" s="700">
        <f t="shared" si="5"/>
        <v>0</v>
      </c>
      <c r="R46" s="700">
        <f ca="1">SUM(R39:R45)</f>
        <v>60730.825843462015</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0.93992634625992333</v>
      </c>
      <c r="D49" s="973">
        <f ca="1">transport!C58</f>
        <v>0</v>
      </c>
      <c r="E49" s="973">
        <f>transport!D58</f>
        <v>0</v>
      </c>
      <c r="F49" s="973">
        <f>transport!E58</f>
        <v>0</v>
      </c>
      <c r="G49" s="973">
        <f>transport!F58</f>
        <v>0</v>
      </c>
      <c r="H49" s="973">
        <f>transport!G58</f>
        <v>113.13547484996239</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114.07540119622232</v>
      </c>
    </row>
    <row r="50" spans="1:18">
      <c r="A50" s="793" t="s">
        <v>301</v>
      </c>
      <c r="B50" s="803"/>
      <c r="C50" s="671">
        <f ca="1">transport!B18</f>
        <v>9.3523972882834006</v>
      </c>
      <c r="D50" s="671">
        <f>transport!C18</f>
        <v>0</v>
      </c>
      <c r="E50" s="671">
        <f>transport!D18</f>
        <v>18.308965650327387</v>
      </c>
      <c r="F50" s="671">
        <f>transport!E18</f>
        <v>34.995298542513304</v>
      </c>
      <c r="G50" s="671">
        <f>transport!F18</f>
        <v>0</v>
      </c>
      <c r="H50" s="671">
        <f>transport!G18</f>
        <v>14389.751447864899</v>
      </c>
      <c r="I50" s="671">
        <f>transport!H18</f>
        <v>3587.4546063974362</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18039.86271574346</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10.292323634543324</v>
      </c>
      <c r="D52" s="700">
        <f t="shared" ref="D52:Q52" ca="1" si="6">SUM(D48:D51)</f>
        <v>0</v>
      </c>
      <c r="E52" s="700">
        <f t="shared" si="6"/>
        <v>18.308965650327387</v>
      </c>
      <c r="F52" s="700">
        <f t="shared" si="6"/>
        <v>34.995298542513304</v>
      </c>
      <c r="G52" s="700">
        <f t="shared" si="6"/>
        <v>0</v>
      </c>
      <c r="H52" s="700">
        <f t="shared" si="6"/>
        <v>14502.886922714861</v>
      </c>
      <c r="I52" s="700">
        <f t="shared" si="6"/>
        <v>3587.4546063974362</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18153.938116939684</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112.8453283656491</v>
      </c>
      <c r="D54" s="671">
        <f ca="1">+landbouw!C12</f>
        <v>0</v>
      </c>
      <c r="E54" s="671">
        <f>+landbouw!D12</f>
        <v>59.365877818960513</v>
      </c>
      <c r="F54" s="671">
        <f>+landbouw!E12</f>
        <v>3.6132414247351501</v>
      </c>
      <c r="G54" s="671">
        <f>+landbouw!F12</f>
        <v>602.35330756557278</v>
      </c>
      <c r="H54" s="671">
        <f>+landbouw!G12</f>
        <v>0</v>
      </c>
      <c r="I54" s="671">
        <f>+landbouw!H12</f>
        <v>0</v>
      </c>
      <c r="J54" s="671">
        <f>+landbouw!I12</f>
        <v>0</v>
      </c>
      <c r="K54" s="671">
        <f>+landbouw!J12</f>
        <v>27.773696334678355</v>
      </c>
      <c r="L54" s="671">
        <f>+landbouw!K12</f>
        <v>0</v>
      </c>
      <c r="M54" s="671">
        <f>+landbouw!L12</f>
        <v>0</v>
      </c>
      <c r="N54" s="671">
        <f>+landbouw!M12</f>
        <v>0</v>
      </c>
      <c r="O54" s="671">
        <f>+landbouw!N12</f>
        <v>0</v>
      </c>
      <c r="P54" s="671">
        <f>+landbouw!O12</f>
        <v>0</v>
      </c>
      <c r="Q54" s="672">
        <f>+landbouw!P12</f>
        <v>0</v>
      </c>
      <c r="R54" s="699">
        <f ca="1">SUM(C54:Q54)</f>
        <v>805.95145150959593</v>
      </c>
    </row>
    <row r="55" spans="1:18" ht="15" thickBot="1">
      <c r="A55" s="793" t="s">
        <v>808</v>
      </c>
      <c r="B55" s="803"/>
      <c r="C55" s="671">
        <f ca="1">C25*'EF ele_warmte'!B12</f>
        <v>428.63464672974561</v>
      </c>
      <c r="D55" s="671"/>
      <c r="E55" s="671">
        <f>E25*EF_CO2_aardgas</f>
        <v>359.91174518920775</v>
      </c>
      <c r="F55" s="671"/>
      <c r="G55" s="671"/>
      <c r="H55" s="671"/>
      <c r="I55" s="671"/>
      <c r="J55" s="671"/>
      <c r="K55" s="671"/>
      <c r="L55" s="671"/>
      <c r="M55" s="671"/>
      <c r="N55" s="671"/>
      <c r="O55" s="671"/>
      <c r="P55" s="671"/>
      <c r="Q55" s="672"/>
      <c r="R55" s="699">
        <f ca="1">SUM(C55:Q55)</f>
        <v>788.5463919189533</v>
      </c>
    </row>
    <row r="56" spans="1:18" ht="15.75" thickBot="1">
      <c r="A56" s="791" t="s">
        <v>809</v>
      </c>
      <c r="B56" s="804"/>
      <c r="C56" s="700">
        <f ca="1">SUM(C54:C55)</f>
        <v>541.47997509539471</v>
      </c>
      <c r="D56" s="700">
        <f t="shared" ref="D56:Q56" ca="1" si="7">SUM(D54:D55)</f>
        <v>0</v>
      </c>
      <c r="E56" s="700">
        <f t="shared" si="7"/>
        <v>419.27762300816823</v>
      </c>
      <c r="F56" s="700">
        <f t="shared" si="7"/>
        <v>3.6132414247351501</v>
      </c>
      <c r="G56" s="700">
        <f t="shared" si="7"/>
        <v>602.35330756557278</v>
      </c>
      <c r="H56" s="700">
        <f t="shared" si="7"/>
        <v>0</v>
      </c>
      <c r="I56" s="700">
        <f t="shared" si="7"/>
        <v>0</v>
      </c>
      <c r="J56" s="700">
        <f t="shared" si="7"/>
        <v>0</v>
      </c>
      <c r="K56" s="700">
        <f t="shared" si="7"/>
        <v>27.773696334678355</v>
      </c>
      <c r="L56" s="700">
        <f t="shared" si="7"/>
        <v>0</v>
      </c>
      <c r="M56" s="700">
        <f t="shared" si="7"/>
        <v>0</v>
      </c>
      <c r="N56" s="700">
        <f t="shared" si="7"/>
        <v>0</v>
      </c>
      <c r="O56" s="700">
        <f t="shared" si="7"/>
        <v>0</v>
      </c>
      <c r="P56" s="700">
        <f t="shared" si="7"/>
        <v>0</v>
      </c>
      <c r="Q56" s="701">
        <f t="shared" si="7"/>
        <v>0</v>
      </c>
      <c r="R56" s="702">
        <f ca="1">SUM(R54:R55)</f>
        <v>1594.4978434285492</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25325.769292701862</v>
      </c>
      <c r="D61" s="708">
        <f t="shared" ref="D61:Q61" ca="1" si="8">D46+D52+D56</f>
        <v>0</v>
      </c>
      <c r="E61" s="708">
        <f t="shared" ca="1" si="8"/>
        <v>20325.704979572933</v>
      </c>
      <c r="F61" s="708">
        <f t="shared" si="8"/>
        <v>1165.1756422677006</v>
      </c>
      <c r="G61" s="708">
        <f t="shared" ca="1" si="8"/>
        <v>15411.994838899998</v>
      </c>
      <c r="H61" s="708">
        <f t="shared" si="8"/>
        <v>14502.886922714861</v>
      </c>
      <c r="I61" s="708">
        <f t="shared" si="8"/>
        <v>3587.4546063974362</v>
      </c>
      <c r="J61" s="708">
        <f t="shared" si="8"/>
        <v>0</v>
      </c>
      <c r="K61" s="708">
        <f t="shared" si="8"/>
        <v>160.27552127545792</v>
      </c>
      <c r="L61" s="708">
        <f t="shared" si="8"/>
        <v>0</v>
      </c>
      <c r="M61" s="708">
        <f t="shared" ca="1" si="8"/>
        <v>0</v>
      </c>
      <c r="N61" s="708">
        <f t="shared" si="8"/>
        <v>0</v>
      </c>
      <c r="O61" s="708">
        <f t="shared" ca="1" si="8"/>
        <v>0</v>
      </c>
      <c r="P61" s="708">
        <f t="shared" si="8"/>
        <v>0</v>
      </c>
      <c r="Q61" s="708">
        <f t="shared" si="8"/>
        <v>0</v>
      </c>
      <c r="R61" s="708">
        <f ca="1">R46+R52+R56</f>
        <v>80479.261803830246</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0.20838054948506343</v>
      </c>
      <c r="D63" s="749">
        <f t="shared" ca="1" si="9"/>
        <v>0</v>
      </c>
      <c r="E63" s="984">
        <f t="shared" ca="1" si="9"/>
        <v>0.20200000000000004</v>
      </c>
      <c r="F63" s="749">
        <f t="shared" si="9"/>
        <v>0.22700000000000006</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6939.9068093499227</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6939.9068093499227</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26505.286762787786</v>
      </c>
      <c r="C4" s="445">
        <f>huishoudens!C8</f>
        <v>0</v>
      </c>
      <c r="D4" s="445">
        <f>huishoudens!D8</f>
        <v>52606.461188963993</v>
      </c>
      <c r="E4" s="445">
        <f>huishoudens!E8</f>
        <v>1478.2526269976067</v>
      </c>
      <c r="F4" s="445">
        <f>huishoudens!F8</f>
        <v>37452.295272590491</v>
      </c>
      <c r="G4" s="445">
        <f>huishoudens!G8</f>
        <v>0</v>
      </c>
      <c r="H4" s="445">
        <f>huishoudens!H8</f>
        <v>0</v>
      </c>
      <c r="I4" s="445">
        <f>huishoudens!I8</f>
        <v>0</v>
      </c>
      <c r="J4" s="445">
        <f>huishoudens!J8</f>
        <v>180.21624303365954</v>
      </c>
      <c r="K4" s="445">
        <f>huishoudens!K8</f>
        <v>0</v>
      </c>
      <c r="L4" s="445">
        <f>huishoudens!L8</f>
        <v>0</v>
      </c>
      <c r="M4" s="445">
        <f>huishoudens!M8</f>
        <v>0</v>
      </c>
      <c r="N4" s="445">
        <f>huishoudens!N8</f>
        <v>8851.853785023126</v>
      </c>
      <c r="O4" s="445">
        <f>huishoudens!O8</f>
        <v>228.2466666666667</v>
      </c>
      <c r="P4" s="446">
        <f>huishoudens!P8</f>
        <v>972.4</v>
      </c>
      <c r="Q4" s="447">
        <f>SUM(B4:P4)</f>
        <v>128275.01254606333</v>
      </c>
    </row>
    <row r="5" spans="1:17">
      <c r="A5" s="444" t="s">
        <v>155</v>
      </c>
      <c r="B5" s="445">
        <f ca="1">tertiair!B16</f>
        <v>27924.773250514809</v>
      </c>
      <c r="C5" s="445">
        <f ca="1">tertiair!C16</f>
        <v>0</v>
      </c>
      <c r="D5" s="445">
        <f ca="1">tertiair!D16</f>
        <v>15917.399646335976</v>
      </c>
      <c r="E5" s="445">
        <f>tertiair!E16</f>
        <v>266.34319183088979</v>
      </c>
      <c r="F5" s="445">
        <f ca="1">tertiair!F16</f>
        <v>5942.3427318658059</v>
      </c>
      <c r="G5" s="445">
        <f>tertiair!G16</f>
        <v>0</v>
      </c>
      <c r="H5" s="445">
        <f>tertiair!H16</f>
        <v>0</v>
      </c>
      <c r="I5" s="445">
        <f>tertiair!I16</f>
        <v>0</v>
      </c>
      <c r="J5" s="445">
        <f>tertiair!J16</f>
        <v>0.29834651737960921</v>
      </c>
      <c r="K5" s="445">
        <f>tertiair!K16</f>
        <v>0</v>
      </c>
      <c r="L5" s="445">
        <f ca="1">tertiair!L16</f>
        <v>0</v>
      </c>
      <c r="M5" s="445">
        <f>tertiair!M16</f>
        <v>0</v>
      </c>
      <c r="N5" s="445">
        <f ca="1">tertiair!N16</f>
        <v>11699.903999752665</v>
      </c>
      <c r="O5" s="445">
        <f>tertiair!O16</f>
        <v>3.1266666666666669</v>
      </c>
      <c r="P5" s="446">
        <f>tertiair!P16</f>
        <v>95.333333333333343</v>
      </c>
      <c r="Q5" s="444">
        <f t="shared" ref="Q5:Q14" ca="1" si="0">SUM(B5:P5)</f>
        <v>61849.521166817525</v>
      </c>
    </row>
    <row r="6" spans="1:17">
      <c r="A6" s="444" t="s">
        <v>193</v>
      </c>
      <c r="B6" s="445">
        <f>'openbare verlichting'!B8</f>
        <v>907.21100000000001</v>
      </c>
      <c r="C6" s="445"/>
      <c r="D6" s="445"/>
      <c r="E6" s="445"/>
      <c r="F6" s="445"/>
      <c r="G6" s="445"/>
      <c r="H6" s="445"/>
      <c r="I6" s="445"/>
      <c r="J6" s="445"/>
      <c r="K6" s="445"/>
      <c r="L6" s="445"/>
      <c r="M6" s="445"/>
      <c r="N6" s="445"/>
      <c r="O6" s="445"/>
      <c r="P6" s="446"/>
      <c r="Q6" s="444">
        <f t="shared" si="0"/>
        <v>907.21100000000001</v>
      </c>
    </row>
    <row r="7" spans="1:17">
      <c r="A7" s="444" t="s">
        <v>111</v>
      </c>
      <c r="B7" s="445">
        <f>landbouw!B8</f>
        <v>541.53484403657239</v>
      </c>
      <c r="C7" s="445">
        <f>landbouw!C8</f>
        <v>0</v>
      </c>
      <c r="D7" s="445">
        <f>landbouw!D8</f>
        <v>293.89048425227975</v>
      </c>
      <c r="E7" s="445">
        <f>landbouw!E8</f>
        <v>15.917363104560133</v>
      </c>
      <c r="F7" s="445">
        <f>landbouw!F8</f>
        <v>2256.004897249336</v>
      </c>
      <c r="G7" s="445">
        <f>landbouw!G8</f>
        <v>0</v>
      </c>
      <c r="H7" s="445">
        <f>landbouw!H8</f>
        <v>0</v>
      </c>
      <c r="I7" s="445">
        <f>landbouw!I8</f>
        <v>0</v>
      </c>
      <c r="J7" s="445">
        <f>landbouw!J8</f>
        <v>78.456769307001011</v>
      </c>
      <c r="K7" s="445">
        <f>landbouw!K8</f>
        <v>0</v>
      </c>
      <c r="L7" s="445">
        <f>landbouw!L8</f>
        <v>0</v>
      </c>
      <c r="M7" s="445">
        <f>landbouw!M8</f>
        <v>0</v>
      </c>
      <c r="N7" s="445">
        <f>landbouw!N8</f>
        <v>0</v>
      </c>
      <c r="O7" s="445">
        <f>landbouw!O8</f>
        <v>0</v>
      </c>
      <c r="P7" s="446">
        <f>landbouw!P8</f>
        <v>0</v>
      </c>
      <c r="Q7" s="444">
        <f t="shared" si="0"/>
        <v>3185.8043579497494</v>
      </c>
    </row>
    <row r="8" spans="1:17">
      <c r="A8" s="444" t="s">
        <v>627</v>
      </c>
      <c r="B8" s="445">
        <f>industrie!B18</f>
        <v>63550.970020670225</v>
      </c>
      <c r="C8" s="445">
        <f>industrie!C18</f>
        <v>0</v>
      </c>
      <c r="D8" s="445">
        <f>industrie!D18</f>
        <v>29932.170802890287</v>
      </c>
      <c r="E8" s="445">
        <f>industrie!E18</f>
        <v>3218.2548520986043</v>
      </c>
      <c r="F8" s="445">
        <f>industrie!F18</f>
        <v>12072.184210279371</v>
      </c>
      <c r="G8" s="445">
        <f>industrie!G18</f>
        <v>0</v>
      </c>
      <c r="H8" s="445">
        <f>industrie!H18</f>
        <v>0</v>
      </c>
      <c r="I8" s="445">
        <f>industrie!I18</f>
        <v>0</v>
      </c>
      <c r="J8" s="445">
        <f>industrie!J18</f>
        <v>193.78435095963761</v>
      </c>
      <c r="K8" s="445">
        <f>industrie!K18</f>
        <v>0</v>
      </c>
      <c r="L8" s="445">
        <f>industrie!L18</f>
        <v>0</v>
      </c>
      <c r="M8" s="445">
        <f>industrie!M18</f>
        <v>0</v>
      </c>
      <c r="N8" s="445">
        <f>industrie!N18</f>
        <v>4364.7379799635664</v>
      </c>
      <c r="O8" s="445">
        <f>industrie!O18</f>
        <v>0</v>
      </c>
      <c r="P8" s="446">
        <f>industrie!P18</f>
        <v>0</v>
      </c>
      <c r="Q8" s="444">
        <f t="shared" si="0"/>
        <v>113332.10221686169</v>
      </c>
    </row>
    <row r="9" spans="1:17" s="450" customFormat="1">
      <c r="A9" s="448" t="s">
        <v>553</v>
      </c>
      <c r="B9" s="449">
        <f>transport!B14</f>
        <v>44.881335188886105</v>
      </c>
      <c r="C9" s="449">
        <f>transport!C14</f>
        <v>0</v>
      </c>
      <c r="D9" s="449">
        <f>transport!D14</f>
        <v>90.638443813501908</v>
      </c>
      <c r="E9" s="449">
        <f>transport!E14</f>
        <v>154.1643107599705</v>
      </c>
      <c r="F9" s="449">
        <f>transport!F14</f>
        <v>0</v>
      </c>
      <c r="G9" s="449">
        <f>transport!G14</f>
        <v>53894.200179269283</v>
      </c>
      <c r="H9" s="449">
        <f>transport!H14</f>
        <v>14407.4482184636</v>
      </c>
      <c r="I9" s="449">
        <f>transport!I14</f>
        <v>0</v>
      </c>
      <c r="J9" s="449">
        <f>transport!J14</f>
        <v>0</v>
      </c>
      <c r="K9" s="449">
        <f>transport!K14</f>
        <v>0</v>
      </c>
      <c r="L9" s="449">
        <f>transport!L14</f>
        <v>0</v>
      </c>
      <c r="M9" s="449">
        <f>transport!M14</f>
        <v>3572.9567695634237</v>
      </c>
      <c r="N9" s="449">
        <f>transport!N14</f>
        <v>0</v>
      </c>
      <c r="O9" s="449">
        <f>transport!O14</f>
        <v>0</v>
      </c>
      <c r="P9" s="449">
        <f>transport!P14</f>
        <v>0</v>
      </c>
      <c r="Q9" s="448">
        <f>SUM(B9:P9)</f>
        <v>72164.289257058655</v>
      </c>
    </row>
    <row r="10" spans="1:17">
      <c r="A10" s="444" t="s">
        <v>543</v>
      </c>
      <c r="B10" s="445">
        <f>transport!B54</f>
        <v>4.5106241853311575</v>
      </c>
      <c r="C10" s="445">
        <f>transport!C54</f>
        <v>0</v>
      </c>
      <c r="D10" s="445">
        <f>transport!D54</f>
        <v>0</v>
      </c>
      <c r="E10" s="445">
        <f>transport!E54</f>
        <v>0</v>
      </c>
      <c r="F10" s="445">
        <f>transport!F54</f>
        <v>0</v>
      </c>
      <c r="G10" s="445">
        <f>transport!G54</f>
        <v>423.72837022457821</v>
      </c>
      <c r="H10" s="445">
        <f>transport!H54</f>
        <v>0</v>
      </c>
      <c r="I10" s="445">
        <f>transport!I54</f>
        <v>0</v>
      </c>
      <c r="J10" s="445">
        <f>transport!J54</f>
        <v>0</v>
      </c>
      <c r="K10" s="445">
        <f>transport!K54</f>
        <v>0</v>
      </c>
      <c r="L10" s="445">
        <f>transport!L54</f>
        <v>0</v>
      </c>
      <c r="M10" s="445">
        <f>transport!M54</f>
        <v>24.401244590011206</v>
      </c>
      <c r="N10" s="445">
        <f>transport!N54</f>
        <v>0</v>
      </c>
      <c r="O10" s="445">
        <f>transport!O54</f>
        <v>0</v>
      </c>
      <c r="P10" s="446">
        <f>transport!P54</f>
        <v>0</v>
      </c>
      <c r="Q10" s="444">
        <f t="shared" si="0"/>
        <v>452.6402389999206</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2056.9801154136499</v>
      </c>
      <c r="C14" s="452"/>
      <c r="D14" s="452">
        <f>'SEAP template'!E25</f>
        <v>1781.74131281786</v>
      </c>
      <c r="E14" s="452"/>
      <c r="F14" s="452"/>
      <c r="G14" s="452"/>
      <c r="H14" s="452"/>
      <c r="I14" s="452"/>
      <c r="J14" s="452"/>
      <c r="K14" s="452"/>
      <c r="L14" s="452"/>
      <c r="M14" s="452"/>
      <c r="N14" s="452"/>
      <c r="O14" s="452"/>
      <c r="P14" s="453"/>
      <c r="Q14" s="444">
        <f t="shared" si="0"/>
        <v>3838.7214282315099</v>
      </c>
    </row>
    <row r="15" spans="1:17" s="454" customFormat="1">
      <c r="A15" s="999" t="s">
        <v>547</v>
      </c>
      <c r="B15" s="947">
        <f ca="1">SUM(B4:B14)</f>
        <v>121536.14795279726</v>
      </c>
      <c r="C15" s="947">
        <f t="shared" ref="C15:Q15" ca="1" si="1">SUM(C4:C14)</f>
        <v>0</v>
      </c>
      <c r="D15" s="947">
        <f t="shared" ca="1" si="1"/>
        <v>100622.3018790739</v>
      </c>
      <c r="E15" s="947">
        <f t="shared" si="1"/>
        <v>5132.9323447916313</v>
      </c>
      <c r="F15" s="947">
        <f t="shared" ca="1" si="1"/>
        <v>57722.827111985011</v>
      </c>
      <c r="G15" s="947">
        <f t="shared" si="1"/>
        <v>54317.928549493859</v>
      </c>
      <c r="H15" s="947">
        <f t="shared" si="1"/>
        <v>14407.4482184636</v>
      </c>
      <c r="I15" s="947">
        <f t="shared" si="1"/>
        <v>0</v>
      </c>
      <c r="J15" s="947">
        <f t="shared" si="1"/>
        <v>452.75570981767777</v>
      </c>
      <c r="K15" s="947">
        <f t="shared" si="1"/>
        <v>0</v>
      </c>
      <c r="L15" s="947">
        <f t="shared" ca="1" si="1"/>
        <v>0</v>
      </c>
      <c r="M15" s="947">
        <f t="shared" si="1"/>
        <v>3597.3580141534349</v>
      </c>
      <c r="N15" s="947">
        <f t="shared" ca="1" si="1"/>
        <v>24916.49576473936</v>
      </c>
      <c r="O15" s="947">
        <f t="shared" si="1"/>
        <v>231.37333333333336</v>
      </c>
      <c r="P15" s="947">
        <f t="shared" si="1"/>
        <v>1067.7333333333333</v>
      </c>
      <c r="Q15" s="947">
        <f t="shared" ca="1" si="1"/>
        <v>384005.30221198237</v>
      </c>
    </row>
    <row r="17" spans="1:17">
      <c r="A17" s="455" t="s">
        <v>548</v>
      </c>
      <c r="B17" s="754">
        <f ca="1">huishoudens!B10</f>
        <v>0.20838054948506346</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5523.1862198888975</v>
      </c>
      <c r="C22" s="445">
        <f t="shared" ref="C22:C32" ca="1" si="3">C4*$C$17</f>
        <v>0</v>
      </c>
      <c r="D22" s="445">
        <f t="shared" ref="D22:D32" si="4">D4*$D$17</f>
        <v>10626.505160170727</v>
      </c>
      <c r="E22" s="445">
        <f t="shared" ref="E22:E32" si="5">E4*$E$17</f>
        <v>335.56334632845676</v>
      </c>
      <c r="F22" s="445">
        <f t="shared" ref="F22:F32" si="6">F4*$F$17</f>
        <v>9999.7628377816618</v>
      </c>
      <c r="G22" s="445">
        <f t="shared" ref="G22:G32" si="7">G4*$G$17</f>
        <v>0</v>
      </c>
      <c r="H22" s="445">
        <f t="shared" ref="H22:H32" si="8">H4*$H$17</f>
        <v>0</v>
      </c>
      <c r="I22" s="445">
        <f t="shared" ref="I22:I32" si="9">I4*$I$17</f>
        <v>0</v>
      </c>
      <c r="J22" s="445">
        <f t="shared" ref="J22:J32" si="10">J4*$J$17</f>
        <v>63.796550033915473</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26548.814114203658</v>
      </c>
    </row>
    <row r="23" spans="1:17">
      <c r="A23" s="444" t="s">
        <v>155</v>
      </c>
      <c r="B23" s="445">
        <f t="shared" ca="1" si="2"/>
        <v>5818.9795941880775</v>
      </c>
      <c r="C23" s="445">
        <f t="shared" ca="1" si="3"/>
        <v>0</v>
      </c>
      <c r="D23" s="445">
        <f t="shared" ca="1" si="4"/>
        <v>3215.3147285598675</v>
      </c>
      <c r="E23" s="445">
        <f t="shared" si="5"/>
        <v>60.459904545611984</v>
      </c>
      <c r="F23" s="445">
        <f t="shared" ca="1" si="6"/>
        <v>1586.6055094081703</v>
      </c>
      <c r="G23" s="445">
        <f t="shared" si="7"/>
        <v>0</v>
      </c>
      <c r="H23" s="445">
        <f t="shared" si="8"/>
        <v>0</v>
      </c>
      <c r="I23" s="445">
        <f t="shared" si="9"/>
        <v>0</v>
      </c>
      <c r="J23" s="445">
        <f t="shared" si="10"/>
        <v>0.10561466715238166</v>
      </c>
      <c r="K23" s="445">
        <f t="shared" si="11"/>
        <v>0</v>
      </c>
      <c r="L23" s="445">
        <f t="shared" ca="1" si="12"/>
        <v>0</v>
      </c>
      <c r="M23" s="445">
        <f t="shared" si="13"/>
        <v>0</v>
      </c>
      <c r="N23" s="445">
        <f t="shared" ca="1" si="14"/>
        <v>0</v>
      </c>
      <c r="O23" s="445">
        <f t="shared" si="15"/>
        <v>0</v>
      </c>
      <c r="P23" s="446">
        <f t="shared" si="16"/>
        <v>0</v>
      </c>
      <c r="Q23" s="444">
        <f t="shared" ref="Q23:Q32" ca="1" si="17">SUM(B23:P23)</f>
        <v>10681.465351368881</v>
      </c>
    </row>
    <row r="24" spans="1:17">
      <c r="A24" s="444" t="s">
        <v>193</v>
      </c>
      <c r="B24" s="445">
        <f t="shared" ca="1" si="2"/>
        <v>189.04512667889392</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189.04512667889392</v>
      </c>
    </row>
    <row r="25" spans="1:17">
      <c r="A25" s="444" t="s">
        <v>111</v>
      </c>
      <c r="B25" s="445">
        <f t="shared" ca="1" si="2"/>
        <v>112.8453283656491</v>
      </c>
      <c r="C25" s="445">
        <f t="shared" ca="1" si="3"/>
        <v>0</v>
      </c>
      <c r="D25" s="445">
        <f t="shared" si="4"/>
        <v>59.365877818960513</v>
      </c>
      <c r="E25" s="445">
        <f t="shared" si="5"/>
        <v>3.6132414247351501</v>
      </c>
      <c r="F25" s="445">
        <f t="shared" si="6"/>
        <v>602.35330756557278</v>
      </c>
      <c r="G25" s="445">
        <f t="shared" si="7"/>
        <v>0</v>
      </c>
      <c r="H25" s="445">
        <f t="shared" si="8"/>
        <v>0</v>
      </c>
      <c r="I25" s="445">
        <f t="shared" si="9"/>
        <v>0</v>
      </c>
      <c r="J25" s="445">
        <f t="shared" si="10"/>
        <v>27.773696334678355</v>
      </c>
      <c r="K25" s="445">
        <f t="shared" si="11"/>
        <v>0</v>
      </c>
      <c r="L25" s="445">
        <f t="shared" si="12"/>
        <v>0</v>
      </c>
      <c r="M25" s="445">
        <f t="shared" si="13"/>
        <v>0</v>
      </c>
      <c r="N25" s="445">
        <f t="shared" si="14"/>
        <v>0</v>
      </c>
      <c r="O25" s="445">
        <f t="shared" si="15"/>
        <v>0</v>
      </c>
      <c r="P25" s="446">
        <f t="shared" si="16"/>
        <v>0</v>
      </c>
      <c r="Q25" s="444">
        <f t="shared" ca="1" si="17"/>
        <v>805.95145150959593</v>
      </c>
    </row>
    <row r="26" spans="1:17">
      <c r="A26" s="444" t="s">
        <v>627</v>
      </c>
      <c r="B26" s="445">
        <f t="shared" ca="1" si="2"/>
        <v>13242.786053216056</v>
      </c>
      <c r="C26" s="445">
        <f t="shared" ca="1" si="3"/>
        <v>0</v>
      </c>
      <c r="D26" s="445">
        <f t="shared" si="4"/>
        <v>6046.2985021838385</v>
      </c>
      <c r="E26" s="445">
        <f t="shared" si="5"/>
        <v>730.54385142638318</v>
      </c>
      <c r="F26" s="445">
        <f t="shared" si="6"/>
        <v>3223.2731841445921</v>
      </c>
      <c r="G26" s="445">
        <f t="shared" si="7"/>
        <v>0</v>
      </c>
      <c r="H26" s="445">
        <f t="shared" si="8"/>
        <v>0</v>
      </c>
      <c r="I26" s="445">
        <f t="shared" si="9"/>
        <v>0</v>
      </c>
      <c r="J26" s="445">
        <f t="shared" si="10"/>
        <v>68.59966023971171</v>
      </c>
      <c r="K26" s="445">
        <f t="shared" si="11"/>
        <v>0</v>
      </c>
      <c r="L26" s="445">
        <f t="shared" si="12"/>
        <v>0</v>
      </c>
      <c r="M26" s="445">
        <f t="shared" si="13"/>
        <v>0</v>
      </c>
      <c r="N26" s="445">
        <f t="shared" si="14"/>
        <v>0</v>
      </c>
      <c r="O26" s="445">
        <f t="shared" si="15"/>
        <v>0</v>
      </c>
      <c r="P26" s="446">
        <f t="shared" si="16"/>
        <v>0</v>
      </c>
      <c r="Q26" s="444">
        <f t="shared" ca="1" si="17"/>
        <v>23311.501251210582</v>
      </c>
    </row>
    <row r="27" spans="1:17" s="450" customFormat="1">
      <c r="A27" s="448" t="s">
        <v>553</v>
      </c>
      <c r="B27" s="748">
        <f t="shared" ca="1" si="2"/>
        <v>9.3523972882834006</v>
      </c>
      <c r="C27" s="449">
        <f t="shared" ca="1" si="3"/>
        <v>0</v>
      </c>
      <c r="D27" s="449">
        <f t="shared" si="4"/>
        <v>18.308965650327387</v>
      </c>
      <c r="E27" s="449">
        <f t="shared" si="5"/>
        <v>34.995298542513304</v>
      </c>
      <c r="F27" s="449">
        <f t="shared" si="6"/>
        <v>0</v>
      </c>
      <c r="G27" s="449">
        <f t="shared" si="7"/>
        <v>14389.751447864899</v>
      </c>
      <c r="H27" s="449">
        <f t="shared" si="8"/>
        <v>3587.4546063974362</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18039.86271574346</v>
      </c>
    </row>
    <row r="28" spans="1:17">
      <c r="A28" s="444" t="s">
        <v>543</v>
      </c>
      <c r="B28" s="445">
        <f t="shared" ca="1" si="2"/>
        <v>0.93992634625992333</v>
      </c>
      <c r="C28" s="445">
        <f t="shared" ca="1" si="3"/>
        <v>0</v>
      </c>
      <c r="D28" s="445">
        <f t="shared" si="4"/>
        <v>0</v>
      </c>
      <c r="E28" s="445">
        <f t="shared" si="5"/>
        <v>0</v>
      </c>
      <c r="F28" s="445">
        <f t="shared" si="6"/>
        <v>0</v>
      </c>
      <c r="G28" s="445">
        <f t="shared" si="7"/>
        <v>113.13547484996239</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114.07540119622232</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428.63464672974561</v>
      </c>
      <c r="C32" s="445">
        <f t="shared" ca="1" si="3"/>
        <v>0</v>
      </c>
      <c r="D32" s="445">
        <f t="shared" si="4"/>
        <v>359.91174518920775</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788.5463919189533</v>
      </c>
    </row>
    <row r="33" spans="1:17" s="454" customFormat="1">
      <c r="A33" s="999" t="s">
        <v>547</v>
      </c>
      <c r="B33" s="947">
        <f ca="1">SUM(B22:B32)</f>
        <v>25325.769292701858</v>
      </c>
      <c r="C33" s="947">
        <f t="shared" ref="C33:Q33" ca="1" si="18">SUM(C22:C32)</f>
        <v>0</v>
      </c>
      <c r="D33" s="947">
        <f t="shared" ca="1" si="18"/>
        <v>20325.704979572933</v>
      </c>
      <c r="E33" s="947">
        <f t="shared" si="18"/>
        <v>1165.1756422677004</v>
      </c>
      <c r="F33" s="947">
        <f t="shared" ca="1" si="18"/>
        <v>15411.994838899998</v>
      </c>
      <c r="G33" s="947">
        <f t="shared" si="18"/>
        <v>14502.886922714861</v>
      </c>
      <c r="H33" s="947">
        <f t="shared" si="18"/>
        <v>3587.4546063974362</v>
      </c>
      <c r="I33" s="947">
        <f t="shared" si="18"/>
        <v>0</v>
      </c>
      <c r="J33" s="947">
        <f t="shared" si="18"/>
        <v>160.27552127545792</v>
      </c>
      <c r="K33" s="947">
        <f t="shared" si="18"/>
        <v>0</v>
      </c>
      <c r="L33" s="947">
        <f t="shared" ca="1" si="18"/>
        <v>0</v>
      </c>
      <c r="M33" s="947">
        <f t="shared" si="18"/>
        <v>0</v>
      </c>
      <c r="N33" s="947">
        <f t="shared" ca="1" si="18"/>
        <v>0</v>
      </c>
      <c r="O33" s="947">
        <f t="shared" si="18"/>
        <v>0</v>
      </c>
      <c r="P33" s="947">
        <f t="shared" si="18"/>
        <v>0</v>
      </c>
      <c r="Q33" s="947">
        <f t="shared" ca="1" si="18"/>
        <v>80479.261803830246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6939.9068093499227</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6939.9068093499227</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0.20838054948506346</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0.20838054948506346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0.20838054948506346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0.20838054948506346</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5982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1156</v>
      </c>
      <c r="C14" s="324"/>
      <c r="D14" s="324"/>
      <c r="E14" s="324"/>
      <c r="F14" s="324"/>
    </row>
    <row r="15" spans="1:6">
      <c r="A15" s="1291" t="s">
        <v>183</v>
      </c>
      <c r="B15" s="1292">
        <v>10</v>
      </c>
      <c r="C15" s="324"/>
      <c r="D15" s="324"/>
      <c r="E15" s="324"/>
      <c r="F15" s="324"/>
    </row>
    <row r="16" spans="1:6">
      <c r="A16" s="1291" t="s">
        <v>6</v>
      </c>
      <c r="B16" s="1292">
        <v>603</v>
      </c>
      <c r="C16" s="324"/>
      <c r="D16" s="324"/>
      <c r="E16" s="324"/>
      <c r="F16" s="324"/>
    </row>
    <row r="17" spans="1:6">
      <c r="A17" s="1291" t="s">
        <v>7</v>
      </c>
      <c r="B17" s="1292">
        <v>178</v>
      </c>
      <c r="C17" s="324"/>
      <c r="D17" s="324"/>
      <c r="E17" s="324"/>
      <c r="F17" s="324"/>
    </row>
    <row r="18" spans="1:6">
      <c r="A18" s="1291" t="s">
        <v>8</v>
      </c>
      <c r="B18" s="1292">
        <v>485</v>
      </c>
      <c r="C18" s="324"/>
      <c r="D18" s="324"/>
      <c r="E18" s="324"/>
      <c r="F18" s="324"/>
    </row>
    <row r="19" spans="1:6">
      <c r="A19" s="1291" t="s">
        <v>9</v>
      </c>
      <c r="B19" s="1292">
        <v>456</v>
      </c>
      <c r="C19" s="324"/>
      <c r="D19" s="324"/>
      <c r="E19" s="324"/>
      <c r="F19" s="324"/>
    </row>
    <row r="20" spans="1:6">
      <c r="A20" s="1291" t="s">
        <v>10</v>
      </c>
      <c r="B20" s="1292">
        <v>258</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0</v>
      </c>
      <c r="C26" s="324"/>
      <c r="D26" s="324"/>
      <c r="E26" s="324"/>
      <c r="F26" s="324"/>
    </row>
    <row r="27" spans="1:6">
      <c r="A27" s="1291" t="s">
        <v>17</v>
      </c>
      <c r="B27" s="1292">
        <v>0</v>
      </c>
      <c r="C27" s="324"/>
      <c r="D27" s="324"/>
      <c r="E27" s="324"/>
      <c r="F27" s="324"/>
    </row>
    <row r="28" spans="1:6" s="43" customFormat="1">
      <c r="A28" s="1293" t="s">
        <v>18</v>
      </c>
      <c r="B28" s="1294">
        <v>4088</v>
      </c>
      <c r="C28" s="330"/>
      <c r="D28" s="330"/>
      <c r="E28" s="330"/>
      <c r="F28" s="330"/>
    </row>
    <row r="29" spans="1:6">
      <c r="A29" s="1293" t="s">
        <v>722</v>
      </c>
      <c r="B29" s="1294">
        <v>111</v>
      </c>
      <c r="C29" s="330"/>
      <c r="D29" s="330"/>
      <c r="E29" s="330"/>
      <c r="F29" s="330"/>
    </row>
    <row r="30" spans="1:6">
      <c r="A30" s="1286" t="s">
        <v>723</v>
      </c>
      <c r="B30" s="1295">
        <v>21</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3568</v>
      </c>
      <c r="D39" s="1292">
        <v>58322019.056501098</v>
      </c>
      <c r="E39" s="1292">
        <v>5793</v>
      </c>
      <c r="F39" s="1292">
        <v>23144726.803872701</v>
      </c>
    </row>
    <row r="40" spans="1:6">
      <c r="A40" s="1291" t="s">
        <v>29</v>
      </c>
      <c r="B40" s="1291" t="s">
        <v>28</v>
      </c>
      <c r="C40" s="1292">
        <v>0</v>
      </c>
      <c r="D40" s="1292">
        <v>0</v>
      </c>
      <c r="E40" s="1292">
        <v>0</v>
      </c>
      <c r="F40" s="1292">
        <v>0</v>
      </c>
    </row>
    <row r="41" spans="1:6">
      <c r="A41" s="1291" t="s">
        <v>31</v>
      </c>
      <c r="B41" s="1291" t="s">
        <v>32</v>
      </c>
      <c r="C41" s="1292">
        <v>42</v>
      </c>
      <c r="D41" s="1292">
        <v>881254.94702389406</v>
      </c>
      <c r="E41" s="1292">
        <v>99</v>
      </c>
      <c r="F41" s="1292">
        <v>700805.29226901196</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8</v>
      </c>
      <c r="F44" s="1292">
        <v>123921.477760273</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411919.28106946801</v>
      </c>
      <c r="E47" s="1292">
        <v>0</v>
      </c>
      <c r="F47" s="1292">
        <v>0</v>
      </c>
    </row>
    <row r="48" spans="1:6">
      <c r="A48" s="1291" t="s">
        <v>31</v>
      </c>
      <c r="B48" s="1291" t="s">
        <v>28</v>
      </c>
      <c r="C48" s="1292">
        <v>28</v>
      </c>
      <c r="D48" s="1292">
        <v>25897230.077509601</v>
      </c>
      <c r="E48" s="1292">
        <v>35</v>
      </c>
      <c r="F48" s="1292">
        <v>54129994.490353003</v>
      </c>
    </row>
    <row r="49" spans="1:6">
      <c r="A49" s="1291" t="s">
        <v>31</v>
      </c>
      <c r="B49" s="1291" t="s">
        <v>39</v>
      </c>
      <c r="C49" s="1292">
        <v>0</v>
      </c>
      <c r="D49" s="1292">
        <v>0</v>
      </c>
      <c r="E49" s="1292">
        <v>3</v>
      </c>
      <c r="F49" s="1292">
        <v>6124064.1543290596</v>
      </c>
    </row>
    <row r="50" spans="1:6">
      <c r="A50" s="1291" t="s">
        <v>31</v>
      </c>
      <c r="B50" s="1291" t="s">
        <v>40</v>
      </c>
      <c r="C50" s="1292">
        <v>14</v>
      </c>
      <c r="D50" s="1292">
        <v>5993820.53130423</v>
      </c>
      <c r="E50" s="1292">
        <v>22</v>
      </c>
      <c r="F50" s="1292">
        <v>2472184.6059588799</v>
      </c>
    </row>
    <row r="51" spans="1:6">
      <c r="A51" s="1291" t="s">
        <v>41</v>
      </c>
      <c r="B51" s="1291" t="s">
        <v>42</v>
      </c>
      <c r="C51" s="1292">
        <v>3</v>
      </c>
      <c r="D51" s="1292">
        <v>40458.469166839197</v>
      </c>
      <c r="E51" s="1292">
        <v>35</v>
      </c>
      <c r="F51" s="1292">
        <v>465794.75755055202</v>
      </c>
    </row>
    <row r="52" spans="1:6">
      <c r="A52" s="1291" t="s">
        <v>41</v>
      </c>
      <c r="B52" s="1291" t="s">
        <v>28</v>
      </c>
      <c r="C52" s="1292">
        <v>7</v>
      </c>
      <c r="D52" s="1292">
        <v>285362.46681129799</v>
      </c>
      <c r="E52" s="1292">
        <v>8</v>
      </c>
      <c r="F52" s="1292">
        <v>75740.0864860203</v>
      </c>
    </row>
    <row r="53" spans="1:6">
      <c r="A53" s="1291" t="s">
        <v>43</v>
      </c>
      <c r="B53" s="1291" t="s">
        <v>44</v>
      </c>
      <c r="C53" s="1292">
        <v>86</v>
      </c>
      <c r="D53" s="1292">
        <v>1781741.3128178599</v>
      </c>
      <c r="E53" s="1292">
        <v>256</v>
      </c>
      <c r="F53" s="1292">
        <v>2056980.1154136499</v>
      </c>
    </row>
    <row r="54" spans="1:6">
      <c r="A54" s="1291" t="s">
        <v>45</v>
      </c>
      <c r="B54" s="1291" t="s">
        <v>46</v>
      </c>
      <c r="C54" s="1292">
        <v>0</v>
      </c>
      <c r="D54" s="1292">
        <v>0</v>
      </c>
      <c r="E54" s="1292">
        <v>1</v>
      </c>
      <c r="F54" s="1292">
        <v>907211</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20</v>
      </c>
      <c r="D57" s="1292">
        <v>1027672.58687043</v>
      </c>
      <c r="E57" s="1292">
        <v>50</v>
      </c>
      <c r="F57" s="1292">
        <v>12839795.3212975</v>
      </c>
    </row>
    <row r="58" spans="1:6">
      <c r="A58" s="1291" t="s">
        <v>48</v>
      </c>
      <c r="B58" s="1291" t="s">
        <v>50</v>
      </c>
      <c r="C58" s="1292">
        <v>27</v>
      </c>
      <c r="D58" s="1292">
        <v>1423845.90217589</v>
      </c>
      <c r="E58" s="1292">
        <v>26</v>
      </c>
      <c r="F58" s="1292">
        <v>186527.45161960501</v>
      </c>
    </row>
    <row r="59" spans="1:6">
      <c r="A59" s="1291" t="s">
        <v>48</v>
      </c>
      <c r="B59" s="1291" t="s">
        <v>51</v>
      </c>
      <c r="C59" s="1292">
        <v>55</v>
      </c>
      <c r="D59" s="1292">
        <v>1837916.3983627299</v>
      </c>
      <c r="E59" s="1292">
        <v>126</v>
      </c>
      <c r="F59" s="1292">
        <v>3451836.76587696</v>
      </c>
    </row>
    <row r="60" spans="1:6">
      <c r="A60" s="1291" t="s">
        <v>48</v>
      </c>
      <c r="B60" s="1291" t="s">
        <v>52</v>
      </c>
      <c r="C60" s="1292">
        <v>44</v>
      </c>
      <c r="D60" s="1292">
        <v>2096938.42799992</v>
      </c>
      <c r="E60" s="1292">
        <v>56</v>
      </c>
      <c r="F60" s="1292">
        <v>1162938.86427057</v>
      </c>
    </row>
    <row r="61" spans="1:6">
      <c r="A61" s="1291" t="s">
        <v>48</v>
      </c>
      <c r="B61" s="1291" t="s">
        <v>53</v>
      </c>
      <c r="C61" s="1292">
        <v>92</v>
      </c>
      <c r="D61" s="1292">
        <v>5187147.7701839805</v>
      </c>
      <c r="E61" s="1292">
        <v>150</v>
      </c>
      <c r="F61" s="1292">
        <v>1612768.1995280599</v>
      </c>
    </row>
    <row r="62" spans="1:6">
      <c r="A62" s="1291" t="s">
        <v>48</v>
      </c>
      <c r="B62" s="1291" t="s">
        <v>54</v>
      </c>
      <c r="C62" s="1292">
        <v>13</v>
      </c>
      <c r="D62" s="1292">
        <v>1774102.3130954299</v>
      </c>
      <c r="E62" s="1292">
        <v>13</v>
      </c>
      <c r="F62" s="1292">
        <v>558295.94045730296</v>
      </c>
    </row>
    <row r="63" spans="1:6">
      <c r="A63" s="1291" t="s">
        <v>48</v>
      </c>
      <c r="B63" s="1291" t="s">
        <v>28</v>
      </c>
      <c r="C63" s="1292">
        <v>79</v>
      </c>
      <c r="D63" s="1292">
        <v>4299161.1316175796</v>
      </c>
      <c r="E63" s="1292">
        <v>96</v>
      </c>
      <c r="F63" s="1292">
        <v>8112610.7074648105</v>
      </c>
    </row>
    <row r="64" spans="1:6">
      <c r="A64" s="1291" t="s">
        <v>55</v>
      </c>
      <c r="B64" s="1291" t="s">
        <v>56</v>
      </c>
      <c r="C64" s="1292">
        <v>0</v>
      </c>
      <c r="D64" s="1292">
        <v>0</v>
      </c>
      <c r="E64" s="1292">
        <v>0</v>
      </c>
      <c r="F64" s="1292">
        <v>0</v>
      </c>
    </row>
    <row r="65" spans="1:6">
      <c r="A65" s="1291" t="s">
        <v>55</v>
      </c>
      <c r="B65" s="1291" t="s">
        <v>28</v>
      </c>
      <c r="C65" s="1292">
        <v>2</v>
      </c>
      <c r="D65" s="1292">
        <v>46632.591596809398</v>
      </c>
      <c r="E65" s="1292">
        <v>4</v>
      </c>
      <c r="F65" s="1292">
        <v>40394.353610968297</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8</v>
      </c>
      <c r="D68" s="1295">
        <v>166777.93030149501</v>
      </c>
      <c r="E68" s="1295">
        <v>13</v>
      </c>
      <c r="F68" s="1295">
        <v>150044.01307069001</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23702106</v>
      </c>
      <c r="E73" s="443"/>
      <c r="F73" s="324"/>
    </row>
    <row r="74" spans="1:6">
      <c r="A74" s="1291" t="s">
        <v>63</v>
      </c>
      <c r="B74" s="1291" t="s">
        <v>648</v>
      </c>
      <c r="C74" s="1305" t="s">
        <v>650</v>
      </c>
      <c r="D74" s="1306">
        <v>1893046</v>
      </c>
      <c r="E74" s="443"/>
      <c r="F74" s="324"/>
    </row>
    <row r="75" spans="1:6">
      <c r="A75" s="1291" t="s">
        <v>64</v>
      </c>
      <c r="B75" s="1291" t="s">
        <v>647</v>
      </c>
      <c r="C75" s="1305" t="s">
        <v>651</v>
      </c>
      <c r="D75" s="1306">
        <v>51278729</v>
      </c>
      <c r="E75" s="443"/>
      <c r="F75" s="324"/>
    </row>
    <row r="76" spans="1:6">
      <c r="A76" s="1291" t="s">
        <v>64</v>
      </c>
      <c r="B76" s="1291" t="s">
        <v>648</v>
      </c>
      <c r="C76" s="1305" t="s">
        <v>652</v>
      </c>
      <c r="D76" s="1306">
        <v>1704867</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123112</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3360.5599589150856</v>
      </c>
      <c r="C91" s="324"/>
      <c r="D91" s="324"/>
      <c r="E91" s="324"/>
      <c r="F91" s="324"/>
    </row>
    <row r="92" spans="1:6">
      <c r="A92" s="1286" t="s">
        <v>68</v>
      </c>
      <c r="B92" s="1287">
        <v>3579.3468504348371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1616</v>
      </c>
      <c r="C97" s="324"/>
      <c r="D97" s="324"/>
      <c r="E97" s="324"/>
      <c r="F97" s="324"/>
    </row>
    <row r="98" spans="1:6">
      <c r="A98" s="1291" t="s">
        <v>71</v>
      </c>
      <c r="B98" s="1292">
        <v>1</v>
      </c>
      <c r="C98" s="324"/>
      <c r="D98" s="324"/>
      <c r="E98" s="324"/>
      <c r="F98" s="324"/>
    </row>
    <row r="99" spans="1:6">
      <c r="A99" s="1291" t="s">
        <v>72</v>
      </c>
      <c r="B99" s="1292">
        <v>67</v>
      </c>
      <c r="C99" s="324"/>
      <c r="D99" s="324"/>
      <c r="E99" s="324"/>
      <c r="F99" s="324"/>
    </row>
    <row r="100" spans="1:6">
      <c r="A100" s="1291" t="s">
        <v>73</v>
      </c>
      <c r="B100" s="1292">
        <v>590</v>
      </c>
      <c r="C100" s="324"/>
      <c r="D100" s="324"/>
      <c r="E100" s="324"/>
      <c r="F100" s="324"/>
    </row>
    <row r="101" spans="1:6">
      <c r="A101" s="1291" t="s">
        <v>74</v>
      </c>
      <c r="B101" s="1292">
        <v>59</v>
      </c>
      <c r="C101" s="324"/>
      <c r="D101" s="324"/>
      <c r="E101" s="324"/>
      <c r="F101" s="324"/>
    </row>
    <row r="102" spans="1:6">
      <c r="A102" s="1291" t="s">
        <v>75</v>
      </c>
      <c r="B102" s="1292">
        <v>94</v>
      </c>
      <c r="C102" s="324"/>
      <c r="D102" s="324"/>
      <c r="E102" s="324"/>
      <c r="F102" s="324"/>
    </row>
    <row r="103" spans="1:6">
      <c r="A103" s="1291" t="s">
        <v>76</v>
      </c>
      <c r="B103" s="1292">
        <v>177</v>
      </c>
      <c r="C103" s="324"/>
      <c r="D103" s="324"/>
      <c r="E103" s="324"/>
      <c r="F103" s="324"/>
    </row>
    <row r="104" spans="1:6">
      <c r="A104" s="1291" t="s">
        <v>77</v>
      </c>
      <c r="B104" s="1292">
        <v>2731</v>
      </c>
      <c r="C104" s="324"/>
      <c r="D104" s="324"/>
      <c r="E104" s="324"/>
      <c r="F104" s="324"/>
    </row>
    <row r="105" spans="1:6">
      <c r="A105" s="1286" t="s">
        <v>78</v>
      </c>
      <c r="B105" s="1295">
        <v>7</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29</v>
      </c>
      <c r="C123" s="1292">
        <v>18</v>
      </c>
      <c r="D123" s="324"/>
      <c r="E123" s="324"/>
      <c r="F123" s="324"/>
    </row>
    <row r="124" spans="1:6" s="43" customFormat="1">
      <c r="A124" s="1293" t="s">
        <v>88</v>
      </c>
      <c r="B124" s="1314">
        <v>0</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127</v>
      </c>
      <c r="C129" s="324"/>
      <c r="D129" s="324"/>
      <c r="E129" s="324"/>
      <c r="F129" s="324"/>
    </row>
    <row r="130" spans="1:6">
      <c r="A130" s="1291" t="s">
        <v>289</v>
      </c>
      <c r="B130" s="1292">
        <v>2</v>
      </c>
      <c r="C130" s="324"/>
      <c r="D130" s="324"/>
      <c r="E130" s="324"/>
      <c r="F130" s="324"/>
    </row>
    <row r="131" spans="1:6">
      <c r="A131" s="1291" t="s">
        <v>290</v>
      </c>
      <c r="B131" s="1292">
        <v>5</v>
      </c>
      <c r="C131" s="324"/>
      <c r="D131" s="324"/>
      <c r="E131" s="324"/>
      <c r="F131" s="324"/>
    </row>
    <row r="132" spans="1:6">
      <c r="A132" s="1286" t="s">
        <v>291</v>
      </c>
      <c r="B132" s="1287">
        <v>22</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121536.14795279727</v>
      </c>
      <c r="C3" s="43" t="s">
        <v>169</v>
      </c>
      <c r="D3" s="43"/>
      <c r="E3" s="154"/>
      <c r="F3" s="43"/>
      <c r="G3" s="43"/>
      <c r="H3" s="43"/>
      <c r="I3" s="43"/>
      <c r="J3" s="43"/>
      <c r="K3" s="96"/>
    </row>
    <row r="4" spans="1:11">
      <c r="A4" s="352" t="s">
        <v>170</v>
      </c>
      <c r="B4" s="49">
        <f>IF(ISERROR('SEAP template'!B78+'SEAP template'!C78),0,'SEAP template'!B78+'SEAP template'!C78)</f>
        <v>6939.9068093499227</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0.20838054948506346</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907.21100000000001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907.21100000000001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0.20838054948506346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189.04512667889392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23144.726803872702</v>
      </c>
      <c r="C5" s="17">
        <f>IF(ISERROR('Eigen informatie GS &amp; warmtenet'!B57),0,'Eigen informatie GS &amp; warmtenet'!B57)</f>
        <v>0</v>
      </c>
      <c r="D5" s="30">
        <f>(SUM(HH_hh_gas_kWh,HH_rest_gas_kWh)/1000)*0.902</f>
        <v>52606.461188963993</v>
      </c>
      <c r="E5" s="17">
        <f>B32*B41</f>
        <v>1478.2526269976067</v>
      </c>
      <c r="F5" s="17">
        <f>B36*B45</f>
        <v>37452.295272590491</v>
      </c>
      <c r="G5" s="18"/>
      <c r="H5" s="17"/>
      <c r="I5" s="17"/>
      <c r="J5" s="17">
        <f>B35*B44+C35*C44</f>
        <v>180.21624303365954</v>
      </c>
      <c r="K5" s="17"/>
      <c r="L5" s="17"/>
      <c r="M5" s="17"/>
      <c r="N5" s="17">
        <f>B34*B43+C34*C43</f>
        <v>8851.853785023126</v>
      </c>
      <c r="O5" s="17">
        <f>B52*B53*B54</f>
        <v>228.2466666666667</v>
      </c>
      <c r="P5" s="17">
        <f>B60*B61*B62/1000-B60*B61*B62/1000/B63</f>
        <v>972.4</v>
      </c>
    </row>
    <row r="6" spans="1:16">
      <c r="A6" s="16" t="s">
        <v>613</v>
      </c>
      <c r="B6" s="756">
        <f>kWh_PV_kleiner_dan_10kW</f>
        <v>3360.5599589150856</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26505.286762787786</v>
      </c>
      <c r="C8" s="21">
        <f>C5</f>
        <v>0</v>
      </c>
      <c r="D8" s="21">
        <f>D5</f>
        <v>52606.461188963993</v>
      </c>
      <c r="E8" s="21">
        <f>E5</f>
        <v>1478.2526269976067</v>
      </c>
      <c r="F8" s="21">
        <f>F5</f>
        <v>37452.295272590491</v>
      </c>
      <c r="G8" s="21"/>
      <c r="H8" s="21"/>
      <c r="I8" s="21"/>
      <c r="J8" s="21">
        <f>J5</f>
        <v>180.21624303365954</v>
      </c>
      <c r="K8" s="21"/>
      <c r="L8" s="21">
        <f>L5</f>
        <v>0</v>
      </c>
      <c r="M8" s="21">
        <f>M5</f>
        <v>0</v>
      </c>
      <c r="N8" s="21">
        <f>N5</f>
        <v>8851.853785023126</v>
      </c>
      <c r="O8" s="21">
        <f>O5</f>
        <v>228.2466666666667</v>
      </c>
      <c r="P8" s="21">
        <f>P5</f>
        <v>972.4</v>
      </c>
    </row>
    <row r="9" spans="1:16">
      <c r="B9" s="19"/>
      <c r="C9" s="19"/>
      <c r="D9" s="254"/>
      <c r="E9" s="19"/>
      <c r="F9" s="19"/>
      <c r="G9" s="19"/>
      <c r="H9" s="19"/>
      <c r="I9" s="19"/>
      <c r="J9" s="19"/>
      <c r="K9" s="19"/>
      <c r="L9" s="19"/>
      <c r="M9" s="19"/>
      <c r="N9" s="19"/>
      <c r="O9" s="19"/>
      <c r="P9" s="19"/>
    </row>
    <row r="10" spans="1:16">
      <c r="A10" s="24" t="s">
        <v>213</v>
      </c>
      <c r="B10" s="25">
        <f ca="1">'EF ele_warmte'!B12</f>
        <v>0.20838054948506346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5523.1862198888975</v>
      </c>
      <c r="C12" s="23">
        <f ca="1">C10*C8</f>
        <v>0</v>
      </c>
      <c r="D12" s="23">
        <f>D8*D10</f>
        <v>10626.505160170727</v>
      </c>
      <c r="E12" s="23">
        <f>E10*E8</f>
        <v>335.56334632845676</v>
      </c>
      <c r="F12" s="23">
        <f>F10*F8</f>
        <v>9999.7628377816618</v>
      </c>
      <c r="G12" s="23"/>
      <c r="H12" s="23"/>
      <c r="I12" s="23"/>
      <c r="J12" s="23">
        <f>J10*J8</f>
        <v>63.796550033915473</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5982</v>
      </c>
      <c r="C26" s="36"/>
      <c r="D26" s="225"/>
    </row>
    <row r="27" spans="1:5" s="15" customFormat="1">
      <c r="A27" s="227" t="s">
        <v>768</v>
      </c>
      <c r="B27" s="37">
        <f>SUM(HH_hh_gas_aantal,HH_rest_gas_aantal)</f>
        <v>3568</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3389.6</v>
      </c>
      <c r="C31" s="34" t="s">
        <v>110</v>
      </c>
      <c r="D31" s="171"/>
    </row>
    <row r="32" spans="1:5">
      <c r="A32" s="168" t="s">
        <v>72</v>
      </c>
      <c r="B32" s="33">
        <f>IF((B21*($B$26-($B$27-0.05*$B$27)-$B$60))&lt;0,0,B21*($B$26-($B$27-0.05*$B$27)-$B$60))</f>
        <v>27.956656212465514</v>
      </c>
      <c r="C32" s="34" t="s">
        <v>110</v>
      </c>
      <c r="D32" s="171"/>
    </row>
    <row r="33" spans="1:6">
      <c r="A33" s="168" t="s">
        <v>73</v>
      </c>
      <c r="B33" s="33">
        <f>IF((B22*($B$26-($B$27-0.05*$B$27)-$B$60))&lt;0,0,B22*($B$26-($B$27-0.05*$B$27)-$B$60))</f>
        <v>581.24235979831212</v>
      </c>
      <c r="C33" s="34" t="s">
        <v>110</v>
      </c>
      <c r="D33" s="171"/>
    </row>
    <row r="34" spans="1:6">
      <c r="A34" s="168" t="s">
        <v>74</v>
      </c>
      <c r="B34" s="33">
        <f>IF((B24*($B$26-($B$27-0.05*$B$27)-$B$60))&lt;0,0,B24*($B$26-($B$27-0.05*$B$27)-$B$60))</f>
        <v>115.58844257770848</v>
      </c>
      <c r="C34" s="33">
        <f>B26*C24</f>
        <v>1224.4887928503617</v>
      </c>
      <c r="D34" s="230"/>
    </row>
    <row r="35" spans="1:6">
      <c r="A35" s="168" t="s">
        <v>76</v>
      </c>
      <c r="B35" s="33">
        <f>IF((B19*($B$26-($B$27-0.05*$B$27)-$B$60))&lt;0,0,B19*($B$26-($B$27-0.05*$B$27)-$B$60))</f>
        <v>21.160174167656777</v>
      </c>
      <c r="C35" s="33">
        <f>B35/2</f>
        <v>10.580087083828388</v>
      </c>
      <c r="D35" s="230"/>
    </row>
    <row r="36" spans="1:6">
      <c r="A36" s="168" t="s">
        <v>77</v>
      </c>
      <c r="B36" s="33">
        <f>IF((B18*($B$26-($B$27-0.05*$B$27)-$B$60))&lt;0,0,B18*($B$26-($B$27-0.05*$B$27)-$B$60))</f>
        <v>1795.4523672438572</v>
      </c>
      <c r="C36" s="34" t="s">
        <v>110</v>
      </c>
      <c r="D36" s="171"/>
    </row>
    <row r="37" spans="1:6">
      <c r="A37" s="168" t="s">
        <v>78</v>
      </c>
      <c r="B37" s="33">
        <f>B60</f>
        <v>51</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146</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51</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27924.773250514809</v>
      </c>
      <c r="C5" s="17">
        <f>IF(ISERROR('Eigen informatie GS &amp; warmtenet'!B58),0,'Eigen informatie GS &amp; warmtenet'!B58)</f>
        <v>0</v>
      </c>
      <c r="D5" s="30">
        <f>SUM(D6:D12)</f>
        <v>15917.399646335976</v>
      </c>
      <c r="E5" s="17">
        <f>SUM(E6:E12)</f>
        <v>266.34319183088979</v>
      </c>
      <c r="F5" s="17">
        <f>SUM(F6:F12)</f>
        <v>5942.3427318658059</v>
      </c>
      <c r="G5" s="18"/>
      <c r="H5" s="17"/>
      <c r="I5" s="17"/>
      <c r="J5" s="17">
        <f>SUM(J6:J12)</f>
        <v>0.29834651737960921</v>
      </c>
      <c r="K5" s="17"/>
      <c r="L5" s="17"/>
      <c r="M5" s="17"/>
      <c r="N5" s="17">
        <f>SUM(N6:N12)</f>
        <v>11699.903999752665</v>
      </c>
      <c r="O5" s="17">
        <f>B38*B39*B40</f>
        <v>3.1266666666666669</v>
      </c>
      <c r="P5" s="17">
        <f>B46*B47*B48/1000-B46*B47*B48/1000/B49</f>
        <v>95.333333333333343</v>
      </c>
      <c r="R5" s="32"/>
    </row>
    <row r="6" spans="1:18">
      <c r="A6" s="32" t="s">
        <v>53</v>
      </c>
      <c r="B6" s="37">
        <f>B26</f>
        <v>1612.76819952806</v>
      </c>
      <c r="C6" s="33"/>
      <c r="D6" s="37">
        <f>IF(ISERROR(TER_kantoor_gas_kWh/1000),0,TER_kantoor_gas_kWh/1000)*0.902</f>
        <v>4678.8072887059507</v>
      </c>
      <c r="E6" s="33">
        <f>$C$26*'E Balans VL '!I12/100/3.6*1000000</f>
        <v>1.0108294676342156E-2</v>
      </c>
      <c r="F6" s="33">
        <f>$C$26*('E Balans VL '!L12+'E Balans VL '!N12)/100/3.6*1000000</f>
        <v>242.35399534755007</v>
      </c>
      <c r="G6" s="34"/>
      <c r="H6" s="33"/>
      <c r="I6" s="33"/>
      <c r="J6" s="33">
        <f>$C$26*('E Balans VL '!D12+'E Balans VL '!E12)/100/3.6*1000000</f>
        <v>0</v>
      </c>
      <c r="K6" s="33"/>
      <c r="L6" s="33"/>
      <c r="M6" s="33"/>
      <c r="N6" s="33">
        <f>$C$26*'E Balans VL '!Y12/100/3.6*1000000</f>
        <v>1.5423736637210801</v>
      </c>
      <c r="O6" s="33"/>
      <c r="P6" s="33"/>
      <c r="R6" s="32"/>
    </row>
    <row r="7" spans="1:18">
      <c r="A7" s="32" t="s">
        <v>52</v>
      </c>
      <c r="B7" s="37">
        <f t="shared" ref="B7:B12" si="0">B27</f>
        <v>1162.9388642705701</v>
      </c>
      <c r="C7" s="33"/>
      <c r="D7" s="37">
        <f>IF(ISERROR(TER_horeca_gas_kWh/1000),0,TER_horeca_gas_kWh/1000)*0.902</f>
        <v>1891.4384620559279</v>
      </c>
      <c r="E7" s="33">
        <f>$C$27*'E Balans VL '!I9/100/3.6*1000000</f>
        <v>16.653090827718383</v>
      </c>
      <c r="F7" s="33">
        <f>$C$27*('E Balans VL '!L9+'E Balans VL '!N9)/100/3.6*1000000</f>
        <v>147.26641541806509</v>
      </c>
      <c r="G7" s="34"/>
      <c r="H7" s="33"/>
      <c r="I7" s="33"/>
      <c r="J7" s="33">
        <f>$C$27*('E Balans VL '!D9+'E Balans VL '!E9)/100/3.6*1000000</f>
        <v>0</v>
      </c>
      <c r="K7" s="33"/>
      <c r="L7" s="33"/>
      <c r="M7" s="33"/>
      <c r="N7" s="33">
        <f>$C$27*'E Balans VL '!Y9/100/3.6*1000000</f>
        <v>0.33431928287681234</v>
      </c>
      <c r="O7" s="33"/>
      <c r="P7" s="33"/>
      <c r="R7" s="32"/>
    </row>
    <row r="8" spans="1:18">
      <c r="A8" s="6" t="s">
        <v>51</v>
      </c>
      <c r="B8" s="37">
        <f t="shared" si="0"/>
        <v>3451.8367658769598</v>
      </c>
      <c r="C8" s="33"/>
      <c r="D8" s="37">
        <f>IF(ISERROR(TER_handel_gas_kWh/1000),0,TER_handel_gas_kWh/1000)*0.902</f>
        <v>1657.8005913231825</v>
      </c>
      <c r="E8" s="33">
        <f>$C$28*'E Balans VL '!I13/100/3.6*1000000</f>
        <v>125.19769383691768</v>
      </c>
      <c r="F8" s="33">
        <f>$C$28*('E Balans VL '!L13+'E Balans VL '!N13)/100/3.6*1000000</f>
        <v>664.85871317734018</v>
      </c>
      <c r="G8" s="34"/>
      <c r="H8" s="33"/>
      <c r="I8" s="33"/>
      <c r="J8" s="33">
        <f>$C$28*('E Balans VL '!D13+'E Balans VL '!E13)/100/3.6*1000000</f>
        <v>0</v>
      </c>
      <c r="K8" s="33"/>
      <c r="L8" s="33"/>
      <c r="M8" s="33"/>
      <c r="N8" s="33">
        <f>$C$28*'E Balans VL '!Y13/100/3.6*1000000</f>
        <v>4.7815881529577231</v>
      </c>
      <c r="O8" s="33"/>
      <c r="P8" s="33"/>
      <c r="R8" s="32"/>
    </row>
    <row r="9" spans="1:18">
      <c r="A9" s="32" t="s">
        <v>50</v>
      </c>
      <c r="B9" s="37">
        <f t="shared" si="0"/>
        <v>186.52745161960502</v>
      </c>
      <c r="C9" s="33"/>
      <c r="D9" s="37">
        <f>IF(ISERROR(TER_gezond_gas_kWh/1000),0,TER_gezond_gas_kWh/1000)*0.902</f>
        <v>1284.309003762653</v>
      </c>
      <c r="E9" s="33">
        <f>$C$29*'E Balans VL '!I10/100/3.6*1000000</f>
        <v>1.1678460097263064E-2</v>
      </c>
      <c r="F9" s="33">
        <f>$C$29*('E Balans VL '!L10+'E Balans VL '!N10)/100/3.6*1000000</f>
        <v>27.709220860096472</v>
      </c>
      <c r="G9" s="34"/>
      <c r="H9" s="33"/>
      <c r="I9" s="33"/>
      <c r="J9" s="33">
        <f>$C$29*('E Balans VL '!D10+'E Balans VL '!E10)/100/3.6*1000000</f>
        <v>0</v>
      </c>
      <c r="K9" s="33"/>
      <c r="L9" s="33"/>
      <c r="M9" s="33"/>
      <c r="N9" s="33">
        <f>$C$29*'E Balans VL '!Y10/100/3.6*1000000</f>
        <v>2.8852246200126284</v>
      </c>
      <c r="O9" s="33"/>
      <c r="P9" s="33"/>
      <c r="R9" s="32"/>
    </row>
    <row r="10" spans="1:18">
      <c r="A10" s="32" t="s">
        <v>49</v>
      </c>
      <c r="B10" s="37">
        <f t="shared" si="0"/>
        <v>12839.795321297501</v>
      </c>
      <c r="C10" s="33"/>
      <c r="D10" s="37">
        <f>IF(ISERROR(TER_ander_gas_kWh/1000),0,TER_ander_gas_kWh/1000)*0.902</f>
        <v>926.96067335712792</v>
      </c>
      <c r="E10" s="33">
        <f>$C$30*'E Balans VL '!I14/100/3.6*1000000</f>
        <v>15.304577206228247</v>
      </c>
      <c r="F10" s="33">
        <f>$C$30*('E Balans VL '!L14+'E Balans VL '!N14)/100/3.6*1000000</f>
        <v>3359.4612685180064</v>
      </c>
      <c r="G10" s="34"/>
      <c r="H10" s="33"/>
      <c r="I10" s="33"/>
      <c r="J10" s="33">
        <f>$C$30*('E Balans VL '!D14+'E Balans VL '!E14)/100/3.6*1000000</f>
        <v>0.27870162581743596</v>
      </c>
      <c r="K10" s="33"/>
      <c r="L10" s="33"/>
      <c r="M10" s="33"/>
      <c r="N10" s="33">
        <f>$C$30*'E Balans VL '!Y14/100/3.6*1000000</f>
        <v>10903.240001476801</v>
      </c>
      <c r="O10" s="33"/>
      <c r="P10" s="33"/>
      <c r="R10" s="32"/>
    </row>
    <row r="11" spans="1:18">
      <c r="A11" s="32" t="s">
        <v>54</v>
      </c>
      <c r="B11" s="37">
        <f t="shared" si="0"/>
        <v>558.295940457303</v>
      </c>
      <c r="C11" s="33"/>
      <c r="D11" s="37">
        <f>IF(ISERROR(TER_onderwijs_gas_kWh/1000),0,TER_onderwijs_gas_kWh/1000)*0.902</f>
        <v>1600.2402864120779</v>
      </c>
      <c r="E11" s="33">
        <f>$C$31*'E Balans VL '!I11/100/3.6*1000000</f>
        <v>8.4237865203819347</v>
      </c>
      <c r="F11" s="33">
        <f>$C$31*('E Balans VL '!L11+'E Balans VL '!N11)/100/3.6*1000000</f>
        <v>97.822367811106844</v>
      </c>
      <c r="G11" s="34"/>
      <c r="H11" s="33"/>
      <c r="I11" s="33"/>
      <c r="J11" s="33">
        <f>$C$31*('E Balans VL '!D11+'E Balans VL '!E11)/100/3.6*1000000</f>
        <v>0</v>
      </c>
      <c r="K11" s="33"/>
      <c r="L11" s="33"/>
      <c r="M11" s="33"/>
      <c r="N11" s="33">
        <f>$C$31*'E Balans VL '!Y11/100/3.6*1000000</f>
        <v>1.5710872197205639</v>
      </c>
      <c r="O11" s="33"/>
      <c r="P11" s="33"/>
      <c r="R11" s="32"/>
    </row>
    <row r="12" spans="1:18">
      <c r="A12" s="32" t="s">
        <v>254</v>
      </c>
      <c r="B12" s="37">
        <f t="shared" si="0"/>
        <v>8112.6107074648107</v>
      </c>
      <c r="C12" s="33"/>
      <c r="D12" s="37">
        <f>IF(ISERROR(TER_rest_gas_kWh/1000),0,TER_rest_gas_kWh/1000)*0.902</f>
        <v>3877.8433407190569</v>
      </c>
      <c r="E12" s="33">
        <f>$C$32*'E Balans VL '!I8/100/3.6*1000000</f>
        <v>100.74225668486993</v>
      </c>
      <c r="F12" s="33">
        <f>$C$32*('E Balans VL '!L8+'E Balans VL '!N8)/100/3.6*1000000</f>
        <v>1402.8707507336405</v>
      </c>
      <c r="G12" s="34"/>
      <c r="H12" s="33"/>
      <c r="I12" s="33"/>
      <c r="J12" s="33">
        <f>$C$32*('E Balans VL '!D8+'E Balans VL '!E8)/100/3.6*1000000</f>
        <v>1.9644891562173264E-2</v>
      </c>
      <c r="K12" s="33"/>
      <c r="L12" s="33"/>
      <c r="M12" s="33"/>
      <c r="N12" s="33">
        <f>$C$32*'E Balans VL '!Y8/100/3.6*1000000</f>
        <v>785.54940533657498</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27924.773250514809</v>
      </c>
      <c r="C16" s="21">
        <f t="shared" ca="1" si="1"/>
        <v>0</v>
      </c>
      <c r="D16" s="21">
        <f t="shared" ca="1" si="1"/>
        <v>15917.399646335976</v>
      </c>
      <c r="E16" s="21">
        <f t="shared" si="1"/>
        <v>266.34319183088979</v>
      </c>
      <c r="F16" s="21">
        <f t="shared" ca="1" si="1"/>
        <v>5942.3427318658059</v>
      </c>
      <c r="G16" s="21">
        <f t="shared" si="1"/>
        <v>0</v>
      </c>
      <c r="H16" s="21">
        <f t="shared" si="1"/>
        <v>0</v>
      </c>
      <c r="I16" s="21">
        <f t="shared" si="1"/>
        <v>0</v>
      </c>
      <c r="J16" s="21">
        <f t="shared" si="1"/>
        <v>0.29834651737960921</v>
      </c>
      <c r="K16" s="21">
        <f t="shared" si="1"/>
        <v>0</v>
      </c>
      <c r="L16" s="21">
        <f t="shared" ca="1" si="1"/>
        <v>0</v>
      </c>
      <c r="M16" s="21">
        <f t="shared" si="1"/>
        <v>0</v>
      </c>
      <c r="N16" s="21">
        <f t="shared" ca="1" si="1"/>
        <v>11699.903999752665</v>
      </c>
      <c r="O16" s="21">
        <f>O5</f>
        <v>3.1266666666666669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0.20838054948506346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5818.9795941880775</v>
      </c>
      <c r="C20" s="23">
        <f t="shared" ref="C20:P20" ca="1" si="2">C16*C18</f>
        <v>0</v>
      </c>
      <c r="D20" s="23">
        <f t="shared" ca="1" si="2"/>
        <v>3215.3147285598675</v>
      </c>
      <c r="E20" s="23">
        <f t="shared" si="2"/>
        <v>60.459904545611984</v>
      </c>
      <c r="F20" s="23">
        <f t="shared" ca="1" si="2"/>
        <v>1586.6055094081703</v>
      </c>
      <c r="G20" s="23">
        <f t="shared" si="2"/>
        <v>0</v>
      </c>
      <c r="H20" s="23">
        <f t="shared" si="2"/>
        <v>0</v>
      </c>
      <c r="I20" s="23">
        <f t="shared" si="2"/>
        <v>0</v>
      </c>
      <c r="J20" s="23">
        <f t="shared" si="2"/>
        <v>0.10561466715238166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1612.76819952806</v>
      </c>
      <c r="C26" s="39">
        <f>IF(ISERROR(B26*3.6/1000000/'E Balans VL '!Z12*100),0,B26*3.6/1000000/'E Balans VL '!Z12*100)</f>
        <v>3.4091364906828472E-2</v>
      </c>
      <c r="D26" s="233" t="s">
        <v>732</v>
      </c>
      <c r="F26" s="6"/>
    </row>
    <row r="27" spans="1:18">
      <c r="A27" s="228" t="s">
        <v>52</v>
      </c>
      <c r="B27" s="33">
        <f>IF(ISERROR(TER_horeca_ele_kWh/1000),0,TER_horeca_ele_kWh/1000)</f>
        <v>1162.9388642705701</v>
      </c>
      <c r="C27" s="39">
        <f>IF(ISERROR(B27*3.6/1000000/'E Balans VL '!Z9*100),0,B27*3.6/1000000/'E Balans VL '!Z9*100)</f>
        <v>9.1674037221005922E-2</v>
      </c>
      <c r="D27" s="233" t="s">
        <v>732</v>
      </c>
      <c r="F27" s="6"/>
    </row>
    <row r="28" spans="1:18">
      <c r="A28" s="168" t="s">
        <v>51</v>
      </c>
      <c r="B28" s="33">
        <f>IF(ISERROR(TER_handel_ele_kWh/1000),0,TER_handel_ele_kWh/1000)</f>
        <v>3451.8367658769598</v>
      </c>
      <c r="C28" s="39">
        <f>IF(ISERROR(B28*3.6/1000000/'E Balans VL '!Z13*100),0,B28*3.6/1000000/'E Balans VL '!Z13*100)</f>
        <v>0.10018624992912814</v>
      </c>
      <c r="D28" s="233" t="s">
        <v>732</v>
      </c>
      <c r="F28" s="6"/>
    </row>
    <row r="29" spans="1:18">
      <c r="A29" s="228" t="s">
        <v>50</v>
      </c>
      <c r="B29" s="33">
        <f>IF(ISERROR(TER_gezond_ele_kWh/1000),0,TER_gezond_ele_kWh/1000)</f>
        <v>186.52745161960502</v>
      </c>
      <c r="C29" s="39">
        <f>IF(ISERROR(B29*3.6/1000000/'E Balans VL '!Z10*100),0,B29*3.6/1000000/'E Balans VL '!Z10*100)</f>
        <v>1.9644403517147708E-2</v>
      </c>
      <c r="D29" s="233" t="s">
        <v>732</v>
      </c>
      <c r="F29" s="6"/>
    </row>
    <row r="30" spans="1:18">
      <c r="A30" s="228" t="s">
        <v>49</v>
      </c>
      <c r="B30" s="33">
        <f>IF(ISERROR(TER_ander_ele_kWh/1000),0,TER_ander_ele_kWh/1000)</f>
        <v>12839.795321297501</v>
      </c>
      <c r="C30" s="39">
        <f>IF(ISERROR(B30*3.6/1000000/'E Balans VL '!Z14*100),0,B30*3.6/1000000/'E Balans VL '!Z14*100)</f>
        <v>0.94706609168857503</v>
      </c>
      <c r="D30" s="233" t="s">
        <v>732</v>
      </c>
      <c r="F30" s="6"/>
    </row>
    <row r="31" spans="1:18">
      <c r="A31" s="228" t="s">
        <v>54</v>
      </c>
      <c r="B31" s="33">
        <f>IF(ISERROR(TER_onderwijs_ele_kWh/1000),0,TER_onderwijs_ele_kWh/1000)</f>
        <v>558.295940457303</v>
      </c>
      <c r="C31" s="39">
        <f>IF(ISERROR(B31*3.6/1000000/'E Balans VL '!Z11*100),0,B31*3.6/1000000/'E Balans VL '!Z11*100)</f>
        <v>0.1386510341375517</v>
      </c>
      <c r="D31" s="233" t="s">
        <v>732</v>
      </c>
    </row>
    <row r="32" spans="1:18">
      <c r="A32" s="228" t="s">
        <v>254</v>
      </c>
      <c r="B32" s="33">
        <f>IF(ISERROR(TER_rest_ele_kWh/1000),0,TER_rest_ele_kWh/1000)</f>
        <v>8112.6107074648107</v>
      </c>
      <c r="C32" s="39">
        <f>IF(ISERROR(B32*3.6/1000000/'E Balans VL '!Z8*100),0,B32*3.6/1000000/'E Balans VL '!Z8*100)</f>
        <v>6.67560177263571E-2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5</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63550.970020670225</v>
      </c>
      <c r="C5" s="17">
        <f>IF(ISERROR('Eigen informatie GS &amp; warmtenet'!B59),0,'Eigen informatie GS &amp; warmtenet'!B59)</f>
        <v>0</v>
      </c>
      <c r="D5" s="30">
        <f>SUM(D6:D15)</f>
        <v>29932.170802890287</v>
      </c>
      <c r="E5" s="17">
        <f>SUM(E6:E15)</f>
        <v>3218.2548520986043</v>
      </c>
      <c r="F5" s="17">
        <f>SUM(F6:F15)</f>
        <v>12072.184210279371</v>
      </c>
      <c r="G5" s="18"/>
      <c r="H5" s="17"/>
      <c r="I5" s="17"/>
      <c r="J5" s="17">
        <f>SUM(J6:J15)</f>
        <v>193.78435095963761</v>
      </c>
      <c r="K5" s="17"/>
      <c r="L5" s="17"/>
      <c r="M5" s="17"/>
      <c r="N5" s="17">
        <f>SUM(N6:N15)</f>
        <v>4364.7379799635664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123.92147776027301</v>
      </c>
      <c r="C8" s="33"/>
      <c r="D8" s="37">
        <f>IF( ISERROR(IND_metaal_Gas_kWH/1000),0,IND_metaal_Gas_kWH/1000)*0.902</f>
        <v>0</v>
      </c>
      <c r="E8" s="33">
        <f>C30*'E Balans VL '!I18/100/3.6*1000000</f>
        <v>1.1393383035042863</v>
      </c>
      <c r="F8" s="33">
        <f>C30*'E Balans VL '!L18/100/3.6*1000000+C30*'E Balans VL '!N18/100/3.6*1000000</f>
        <v>11.619708850290259</v>
      </c>
      <c r="G8" s="34"/>
      <c r="H8" s="33"/>
      <c r="I8" s="33"/>
      <c r="J8" s="40">
        <f>C30*'E Balans VL '!D18/100/3.6*1000000+C30*'E Balans VL '!E18/100/3.6*1000000</f>
        <v>0</v>
      </c>
      <c r="K8" s="33"/>
      <c r="L8" s="33"/>
      <c r="M8" s="33"/>
      <c r="N8" s="33">
        <f>C30*'E Balans VL '!Y18/100/3.6*1000000</f>
        <v>1.7679446691161667</v>
      </c>
      <c r="O8" s="33"/>
      <c r="P8" s="33"/>
      <c r="R8" s="32"/>
    </row>
    <row r="9" spans="1:18">
      <c r="A9" s="6" t="s">
        <v>32</v>
      </c>
      <c r="B9" s="37">
        <f t="shared" si="0"/>
        <v>700.80529226901194</v>
      </c>
      <c r="C9" s="33"/>
      <c r="D9" s="37">
        <f>IF( ISERROR(IND_andere_gas_kWh/1000),0,IND_andere_gas_kWh/1000)*0.902</f>
        <v>794.89196221555244</v>
      </c>
      <c r="E9" s="33">
        <f>C31*'E Balans VL '!I19/100/3.6*1000000</f>
        <v>204.85903000008187</v>
      </c>
      <c r="F9" s="33">
        <f>C31*'E Balans VL '!L19/100/3.6*1000000+C31*'E Balans VL '!N19/100/3.6*1000000</f>
        <v>563.15009842458721</v>
      </c>
      <c r="G9" s="34"/>
      <c r="H9" s="33"/>
      <c r="I9" s="33"/>
      <c r="J9" s="40">
        <f>C31*'E Balans VL '!D19/100/3.6*1000000+C31*'E Balans VL '!E19/100/3.6*1000000</f>
        <v>0</v>
      </c>
      <c r="K9" s="33"/>
      <c r="L9" s="33"/>
      <c r="M9" s="33"/>
      <c r="N9" s="33">
        <f>C31*'E Balans VL '!Y19/100/3.6*1000000</f>
        <v>54.970215313649291</v>
      </c>
      <c r="O9" s="33"/>
      <c r="P9" s="33"/>
      <c r="R9" s="32"/>
    </row>
    <row r="10" spans="1:18">
      <c r="A10" s="6" t="s">
        <v>40</v>
      </c>
      <c r="B10" s="37">
        <f t="shared" si="0"/>
        <v>2472.1846059588797</v>
      </c>
      <c r="C10" s="33"/>
      <c r="D10" s="37">
        <f>IF( ISERROR(IND_voed_gas_kWh/1000),0,IND_voed_gas_kWh/1000)*0.902</f>
        <v>5406.4261192364156</v>
      </c>
      <c r="E10" s="33">
        <f>C32*'E Balans VL '!I20/100/3.6*1000000</f>
        <v>5.2299448655823229</v>
      </c>
      <c r="F10" s="33">
        <f>C32*'E Balans VL '!L20/100/3.6*1000000+C32*'E Balans VL '!N20/100/3.6*1000000</f>
        <v>157.18402250938843</v>
      </c>
      <c r="G10" s="34"/>
      <c r="H10" s="33"/>
      <c r="I10" s="33"/>
      <c r="J10" s="40">
        <f>C32*'E Balans VL '!D20/100/3.6*1000000+C32*'E Balans VL '!E20/100/3.6*1000000</f>
        <v>0</v>
      </c>
      <c r="K10" s="33"/>
      <c r="L10" s="33"/>
      <c r="M10" s="33"/>
      <c r="N10" s="33">
        <f>C32*'E Balans VL '!Y20/100/3.6*1000000</f>
        <v>170.60513392496318</v>
      </c>
      <c r="O10" s="33"/>
      <c r="P10" s="33"/>
      <c r="R10" s="32"/>
    </row>
    <row r="11" spans="1:18">
      <c r="A11" s="6" t="s">
        <v>39</v>
      </c>
      <c r="B11" s="37">
        <f t="shared" si="0"/>
        <v>6124.0641543290594</v>
      </c>
      <c r="C11" s="33"/>
      <c r="D11" s="37">
        <f>IF( ISERROR(IND_textiel_gas_kWh/1000),0,IND_textiel_gas_kWh/1000)*0.902</f>
        <v>0</v>
      </c>
      <c r="E11" s="33">
        <f>C33*'E Balans VL '!I21/100/3.6*1000000</f>
        <v>18.187942542523924</v>
      </c>
      <c r="F11" s="33">
        <f>C33*'E Balans VL '!L21/100/3.6*1000000+C33*'E Balans VL '!N21/100/3.6*1000000</f>
        <v>618.69861035867291</v>
      </c>
      <c r="G11" s="34"/>
      <c r="H11" s="33"/>
      <c r="I11" s="33"/>
      <c r="J11" s="40">
        <f>C33*'E Balans VL '!D21/100/3.6*1000000+C33*'E Balans VL '!E21/100/3.6*1000000</f>
        <v>0</v>
      </c>
      <c r="K11" s="33"/>
      <c r="L11" s="33"/>
      <c r="M11" s="33"/>
      <c r="N11" s="33">
        <f>C33*'E Balans VL '!Y21/100/3.6*1000000</f>
        <v>337.76168216942165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371.55119152466017</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54129.994490353005</v>
      </c>
      <c r="C15" s="33"/>
      <c r="D15" s="37">
        <f>IF( ISERROR(IND_rest_gas_kWh/1000),0,IND_rest_gas_kWh/1000)*0.902</f>
        <v>23359.30152991366</v>
      </c>
      <c r="E15" s="33">
        <f>C37*'E Balans VL '!I15/100/3.6*1000000</f>
        <v>2988.8385963869118</v>
      </c>
      <c r="F15" s="33">
        <f>C37*'E Balans VL '!L15/100/3.6*1000000+C37*'E Balans VL '!N15/100/3.6*1000000</f>
        <v>10721.531770136433</v>
      </c>
      <c r="G15" s="34"/>
      <c r="H15" s="33"/>
      <c r="I15" s="33"/>
      <c r="J15" s="40">
        <f>C37*'E Balans VL '!D15/100/3.6*1000000+C37*'E Balans VL '!E15/100/3.6*1000000</f>
        <v>193.78435095963761</v>
      </c>
      <c r="K15" s="33"/>
      <c r="L15" s="33"/>
      <c r="M15" s="33"/>
      <c r="N15" s="33">
        <f>C37*'E Balans VL '!Y15/100/3.6*1000000</f>
        <v>3799.6330038864162</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63550.970020670225</v>
      </c>
      <c r="C18" s="21">
        <f>C5+C16</f>
        <v>0</v>
      </c>
      <c r="D18" s="21">
        <f>MAX((D5+D16),0)</f>
        <v>29932.170802890287</v>
      </c>
      <c r="E18" s="21">
        <f>MAX((E5+E16),0)</f>
        <v>3218.2548520986043</v>
      </c>
      <c r="F18" s="21">
        <f>MAX((F5+F16),0)</f>
        <v>12072.184210279371</v>
      </c>
      <c r="G18" s="21"/>
      <c r="H18" s="21"/>
      <c r="I18" s="21"/>
      <c r="J18" s="21">
        <f>MAX((J5+J16),0)</f>
        <v>193.78435095963761</v>
      </c>
      <c r="K18" s="21"/>
      <c r="L18" s="21">
        <f>MAX((L5+L16),0)</f>
        <v>0</v>
      </c>
      <c r="M18" s="21"/>
      <c r="N18" s="21">
        <f>MAX((N5+N16),0)</f>
        <v>4364.7379799635664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0.20838054948506346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13242.786053216056</v>
      </c>
      <c r="C22" s="23">
        <f ca="1">C18*C20</f>
        <v>0</v>
      </c>
      <c r="D22" s="23">
        <f>D18*D20</f>
        <v>6046.2985021838385</v>
      </c>
      <c r="E22" s="23">
        <f>E18*E20</f>
        <v>730.54385142638318</v>
      </c>
      <c r="F22" s="23">
        <f>F18*F20</f>
        <v>3223.2731841445921</v>
      </c>
      <c r="G22" s="23"/>
      <c r="H22" s="23"/>
      <c r="I22" s="23"/>
      <c r="J22" s="23">
        <f>J18*J20</f>
        <v>68.59966023971171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123.92147776027301</v>
      </c>
      <c r="C30" s="39">
        <f>IF(ISERROR(B30*3.6/1000000/'E Balans VL '!Z18*100),0,B30*3.6/1000000/'E Balans VL '!Z18*100)</f>
        <v>7.0229479001263926E-3</v>
      </c>
      <c r="D30" s="233" t="s">
        <v>732</v>
      </c>
    </row>
    <row r="31" spans="1:18">
      <c r="A31" s="6" t="s">
        <v>32</v>
      </c>
      <c r="B31" s="37">
        <f>IF( ISERROR(IND_ander_ele_kWh/1000),0,IND_ander_ele_kWh/1000)</f>
        <v>700.80529226901194</v>
      </c>
      <c r="C31" s="39">
        <f>IF(ISERROR(B31*3.6/1000000/'E Balans VL '!Z19*100),0,B31*3.6/1000000/'E Balans VL '!Z19*100)</f>
        <v>3.1785609954874054E-2</v>
      </c>
      <c r="D31" s="233" t="s">
        <v>732</v>
      </c>
    </row>
    <row r="32" spans="1:18">
      <c r="A32" s="168" t="s">
        <v>40</v>
      </c>
      <c r="B32" s="37">
        <f>IF( ISERROR(IND_voed_ele_kWh/1000),0,IND_voed_ele_kWh/1000)</f>
        <v>2472.1846059588797</v>
      </c>
      <c r="C32" s="39">
        <f>IF(ISERROR(B32*3.6/1000000/'E Balans VL '!Z20*100),0,B32*3.6/1000000/'E Balans VL '!Z20*100)</f>
        <v>7.6475892632819051E-2</v>
      </c>
      <c r="D32" s="233" t="s">
        <v>732</v>
      </c>
    </row>
    <row r="33" spans="1:5">
      <c r="A33" s="168" t="s">
        <v>39</v>
      </c>
      <c r="B33" s="37">
        <f>IF( ISERROR(IND_textiel_ele_kWh/1000),0,IND_textiel_ele_kWh/1000)</f>
        <v>6124.0641543290594</v>
      </c>
      <c r="C33" s="39">
        <f>IF(ISERROR(B33*3.6/1000000/'E Balans VL '!Z21*100),0,B33*3.6/1000000/'E Balans VL '!Z21*100)</f>
        <v>0.79850989328517608</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54129.994490353005</v>
      </c>
      <c r="C37" s="39">
        <f>IF(ISERROR(B37*3.6/1000000/'E Balans VL '!Z15*100),0,B37*3.6/1000000/'E Balans VL '!Z15*100)</f>
        <v>0.42904668429165532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541.53484403657239</v>
      </c>
      <c r="C5" s="17">
        <f>'Eigen informatie GS &amp; warmtenet'!B60</f>
        <v>0</v>
      </c>
      <c r="D5" s="30">
        <f>IF(ISERROR(SUM(LB_lb_gas_kWh,LB_rest_gas_kWh)/1000),0,SUM(LB_lb_gas_kWh,LB_rest_gas_kWh)/1000)*0.902</f>
        <v>293.89048425227975</v>
      </c>
      <c r="E5" s="17">
        <f>B17*'E Balans VL '!I25/3.6*1000000/100</f>
        <v>15.917363104560133</v>
      </c>
      <c r="F5" s="17">
        <f>B17*('E Balans VL '!L25/3.6*1000000+'E Balans VL '!N25/3.6*1000000)/100</f>
        <v>2256.004897249336</v>
      </c>
      <c r="G5" s="18"/>
      <c r="H5" s="17"/>
      <c r="I5" s="17"/>
      <c r="J5" s="17">
        <f>('E Balans VL '!D25+'E Balans VL '!E25)/3.6*1000000*landbouw!B17/100</f>
        <v>78.456769307001011</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541.53484403657239</v>
      </c>
      <c r="C8" s="21">
        <f>C5+C6</f>
        <v>0</v>
      </c>
      <c r="D8" s="21">
        <f>MAX((D5+D6),0)</f>
        <v>293.89048425227975</v>
      </c>
      <c r="E8" s="21">
        <f>MAX((E5+E6),0)</f>
        <v>15.917363104560133</v>
      </c>
      <c r="F8" s="21">
        <f>MAX((F5+F6),0)</f>
        <v>2256.004897249336</v>
      </c>
      <c r="G8" s="21"/>
      <c r="H8" s="21"/>
      <c r="I8" s="21"/>
      <c r="J8" s="21">
        <f>MAX((J5+J6),0)</f>
        <v>78.456769307001011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0.20838054948506346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112.8453283656491</v>
      </c>
      <c r="C12" s="23">
        <f ca="1">C8*C10</f>
        <v>0</v>
      </c>
      <c r="D12" s="23">
        <f>D8*D10</f>
        <v>59.365877818960513</v>
      </c>
      <c r="E12" s="23">
        <f>E8*E10</f>
        <v>3.6132414247351501</v>
      </c>
      <c r="F12" s="23">
        <f>F8*F10</f>
        <v>602.35330756557278</v>
      </c>
      <c r="G12" s="23"/>
      <c r="H12" s="23"/>
      <c r="I12" s="23"/>
      <c r="J12" s="23">
        <f>J8*J10</f>
        <v>27.773696334678355</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7.6845493382548161E-2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140.12752665370047</v>
      </c>
      <c r="C26" s="243">
        <f>B26*'GWP N2O_CH4'!B5</f>
        <v>2942.6780597277098</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23.715898410657086</v>
      </c>
      <c r="C27" s="243">
        <f>B27*'GWP N2O_CH4'!B5</f>
        <v>498.03386662379881</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1.8064830325065837</v>
      </c>
      <c r="C28" s="243">
        <f>B28*'GWP N2O_CH4'!B4</f>
        <v>560.00974007704099</v>
      </c>
      <c r="D28" s="50"/>
    </row>
    <row r="29" spans="1:4">
      <c r="A29" s="41" t="s">
        <v>271</v>
      </c>
      <c r="B29" s="243">
        <f>B34*'ha_N2O bodem landbouw'!B4</f>
        <v>7.5212138850822541</v>
      </c>
      <c r="C29" s="243">
        <f>B29*'GWP N2O_CH4'!B4</f>
        <v>2331.5763043754987</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1.7163150893196504E-3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1.6157280667998997E-4</v>
      </c>
      <c r="C5" s="431" t="s">
        <v>210</v>
      </c>
      <c r="D5" s="416">
        <f>SUM(D6:D11)</f>
        <v>3.2629839772860687E-4</v>
      </c>
      <c r="E5" s="416">
        <f>SUM(E6:E11)</f>
        <v>5.5499151873589377E-4</v>
      </c>
      <c r="F5" s="429" t="s">
        <v>210</v>
      </c>
      <c r="G5" s="416">
        <f>SUM(G6:G11)</f>
        <v>0.19401912064536941</v>
      </c>
      <c r="H5" s="416">
        <f>SUM(H6:H11)</f>
        <v>5.1866813586468954E-2</v>
      </c>
      <c r="I5" s="431" t="s">
        <v>210</v>
      </c>
      <c r="J5" s="431" t="s">
        <v>210</v>
      </c>
      <c r="K5" s="431" t="s">
        <v>210</v>
      </c>
      <c r="L5" s="431" t="s">
        <v>210</v>
      </c>
      <c r="M5" s="416">
        <f>SUM(M6:M11)</f>
        <v>1.2862644370428326E-2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4.1574587398608363E-5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6.9894192279393571E-5</v>
      </c>
      <c r="E6" s="859">
        <f>vkm_GW_PW*SUMIFS(TableVerdeelsleutelVkm[LPG],TableVerdeelsleutelVkm[Voertuigtype],"Lichte voertuigen")*SUMIFS(TableECFTransport[EnergieConsumptieFactor (PJ per km)],TableECFTransport[Index],CONCATENATE($A6,"_LPG_LPG"))</f>
        <v>1.2297943008513198E-4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3.6487640837880232E-2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1.1292357525348455E-2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2.4642628023233732E-3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5.5368836761187874E-7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1.7784702143186459E-2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2.9016785009858928E-7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1.0390808952762882E-3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1.1894588216132243E-4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2.5640420544921331E-4</v>
      </c>
      <c r="E8" s="419">
        <f>vkm_NGW_PW*SUMIFS(TableVerdeelsleutelVkm[LPG],TableVerdeelsleutelVkm[Voertuigtype],"Lichte voertuigen")*SUMIFS(TableECFTransport[EnergieConsumptieFactor (PJ per km)],TableECFTransport[Index],CONCATENATE($A8,"_LPG_LPG"))</f>
        <v>4.3201208865076176E-4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0.11919615430341056</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4.057385046902301E-2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8.1586199111567809E-3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4.9864875244730498E-7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2.055062336089216E-2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3.1542424738766342E-7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1.2006807616718844E-3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44.881335188886105</v>
      </c>
      <c r="C14" s="21"/>
      <c r="D14" s="21">
        <f t="shared" ref="D14:M14" si="0">((D5)*10^9/3600)+D12</f>
        <v>90.638443813501908</v>
      </c>
      <c r="E14" s="21">
        <f t="shared" si="0"/>
        <v>154.1643107599705</v>
      </c>
      <c r="F14" s="21"/>
      <c r="G14" s="21">
        <f t="shared" si="0"/>
        <v>53894.200179269283</v>
      </c>
      <c r="H14" s="21">
        <f t="shared" si="0"/>
        <v>14407.4482184636</v>
      </c>
      <c r="I14" s="21"/>
      <c r="J14" s="21"/>
      <c r="K14" s="21"/>
      <c r="L14" s="21"/>
      <c r="M14" s="21">
        <f t="shared" si="0"/>
        <v>3572.9567695634237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0.20838054948506346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9.3523972882834006</v>
      </c>
      <c r="C18" s="23"/>
      <c r="D18" s="23">
        <f t="shared" ref="D18:M18" si="1">D14*D16</f>
        <v>18.308965650327387</v>
      </c>
      <c r="E18" s="23">
        <f t="shared" si="1"/>
        <v>34.995298542513304</v>
      </c>
      <c r="F18" s="23"/>
      <c r="G18" s="23">
        <f t="shared" si="1"/>
        <v>14389.751447864899</v>
      </c>
      <c r="H18" s="23">
        <f t="shared" si="1"/>
        <v>3587.4546063974362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1.6238247067192168E-5</v>
      </c>
      <c r="C50" s="313">
        <f t="shared" ref="C50:P50" si="2">SUM(C51:C52)</f>
        <v>0</v>
      </c>
      <c r="D50" s="313">
        <f t="shared" si="2"/>
        <v>0</v>
      </c>
      <c r="E50" s="313">
        <f t="shared" si="2"/>
        <v>0</v>
      </c>
      <c r="F50" s="313">
        <f t="shared" si="2"/>
        <v>0</v>
      </c>
      <c r="G50" s="313">
        <f t="shared" si="2"/>
        <v>1.5254221328084817E-3</v>
      </c>
      <c r="H50" s="313">
        <f t="shared" si="2"/>
        <v>0</v>
      </c>
      <c r="I50" s="313">
        <f t="shared" si="2"/>
        <v>0</v>
      </c>
      <c r="J50" s="313">
        <f t="shared" si="2"/>
        <v>0</v>
      </c>
      <c r="K50" s="313">
        <f t="shared" si="2"/>
        <v>0</v>
      </c>
      <c r="L50" s="313">
        <f t="shared" si="2"/>
        <v>0</v>
      </c>
      <c r="M50" s="313">
        <f t="shared" si="2"/>
        <v>8.7844480524040339E-5</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1.6238247067192168E-5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1.5254221328084817E-3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8.7844480524040339E-5</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4.5106241853311575</v>
      </c>
      <c r="C54" s="21">
        <f t="shared" ref="C54:P54" si="3">(C50)*10^9/3600</f>
        <v>0</v>
      </c>
      <c r="D54" s="21">
        <f t="shared" si="3"/>
        <v>0</v>
      </c>
      <c r="E54" s="21">
        <f t="shared" si="3"/>
        <v>0</v>
      </c>
      <c r="F54" s="21">
        <f t="shared" si="3"/>
        <v>0</v>
      </c>
      <c r="G54" s="21">
        <f t="shared" si="3"/>
        <v>423.72837022457821</v>
      </c>
      <c r="H54" s="21">
        <f t="shared" si="3"/>
        <v>0</v>
      </c>
      <c r="I54" s="21">
        <f t="shared" si="3"/>
        <v>0</v>
      </c>
      <c r="J54" s="21">
        <f t="shared" si="3"/>
        <v>0</v>
      </c>
      <c r="K54" s="21">
        <f t="shared" si="3"/>
        <v>0</v>
      </c>
      <c r="L54" s="21">
        <f t="shared" si="3"/>
        <v>0</v>
      </c>
      <c r="M54" s="21">
        <f t="shared" si="3"/>
        <v>24.401244590011206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0.20838054948506346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0.93992634625992333</v>
      </c>
      <c r="C58" s="23">
        <f t="shared" ref="C58:P58" ca="1" si="4">C54*C56</f>
        <v>0</v>
      </c>
      <c r="D58" s="23">
        <f t="shared" si="4"/>
        <v>0</v>
      </c>
      <c r="E58" s="23">
        <f t="shared" si="4"/>
        <v>0</v>
      </c>
      <c r="F58" s="23">
        <f t="shared" si="4"/>
        <v>0</v>
      </c>
      <c r="G58" s="23">
        <f t="shared" si="4"/>
        <v>113.13547484996239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6939.9068093499227</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6939.9068093499227</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2021-06-29T15:43:25Z</dcterms:modified>
</cp:coreProperties>
</file>