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Q77" i="14" l="1"/>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<sst xmlns="http://schemas.openxmlformats.org/spreadsheetml/2006/main" count="2476" uniqueCount="902">
  <si>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</si>
  <si>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</si>
  <si>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</si>
  <si>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</si>
  <si>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</si>
  <si>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</si>
  <si>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</si>
  <si>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</si>
  <si>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</si>
  <si>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</si>
  <si>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</si>
  <si>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</si>
  <si>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</si>
  <si>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</si>
  <si>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</si>
  <si>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</si>
  <si>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</si>
  <si>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</si>
  <si>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</si>
  <si>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</si>
  <si>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</si>
  <si>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</si>
  <si>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</si>
  <si>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</si>
  <si>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</si>
  <si>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</si>
  <si>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</si>
  <si>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</si>
  <si>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</si>
  <si>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</si>
  <si>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</si>
  <si>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</si>
  <si>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</si>
  <si>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</si>
  <si>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</si>
  <si>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</si>
  <si>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</si>
  <si>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</si>
  <si>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</si>
  <si>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</si>
  <si>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</si>
  <si>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</si>
  <si>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</si>
  <si>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</si>
  <si>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</si>
  <si>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</si>
  <si>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</si>
  <si>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</si>
  <si>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</si>
  <si>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</si>
  <si>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</si>
  <si>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</si>
  <si>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</si>
  <si>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</si>
  <si>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</si>
  <si>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</si>
  <si>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</si>
  <si>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</si>
  <si>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</si>
  <si>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</si>
  <si>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</si>
  <si>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</si>
  <si>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</si>
  <si>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</si>
  <si>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</si>
  <si>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</si>
  <si>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</si>
  <si>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</si>
  <si>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</si>
  <si>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</si>
  <si>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</si>
  <si>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</si>
  <si>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</si>
  <si>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</si>
  <si>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</si>
  <si>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</si>
  <si>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</si>
  <si>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</si>
  <si>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</si>
  <si>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</si>
  <si>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</si>
  <si>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</si>
  <si>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</si>
  <si>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</si>
  <si>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</si>
  <si>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</si>
  <si>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</si>
  <si>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</si>
  <si>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</si>
  <si>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</si>
  <si>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</si>
  <si>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</si>
  <si>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</si>
  <si>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</si>
  <si>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</si>
  <si>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</si>
  <si>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</si>
  <si>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</si>
  <si>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</si>
  <si>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</si>
  <si>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</si>
  <si>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</si>
  <si>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</si>
  <si>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</si>
  <si>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</si>
  <si>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</si>
  <si>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</si>
  <si>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</si>
  <si>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</si>
  <si>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</si>
  <si>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</si>
  <si>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</si>
  <si>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</si>
  <si>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</si>
  <si>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</si>
  <si>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</si>
  <si>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</si>
  <si>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</si>
  <si>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</si>
  <si>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</si>
  <si>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</si>
  <si>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</si>
  <si>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</si>
  <si>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</si>
  <si>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</si>
  <si>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</si>
  <si>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</si>
  <si>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</si>
  <si>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</si>
  <si>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</si>
  <si>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</si>
  <si>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</si>
  <si>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</si>
  <si>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</si>
  <si>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</si>
  <si>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</si>
  <si>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</si>
  <si>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</si>
  <si>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</si>
  <si>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</si>
  <si>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</si>
  <si>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</si>
  <si>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</si>
  <si>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</si>
  <si>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</si>
  <si>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</si>
  <si>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</si>
  <si>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</si>
  <si>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</si>
  <si>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</si>
  <si>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</si>
  <si>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</si>
  <si>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</si>
  <si>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</si>
  <si>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</si>
  <si>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</si>
  <si>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</si>
  <si>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</si>
  <si>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</si>
  <si>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</si>
  <si>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</si>
  <si>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</si>
  <si>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</si>
  <si>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</si>
  <si>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</si>
  <si>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</si>
  <si>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</si>
  <si>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</si>
  <si>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</si>
  <si>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</si>
  <si>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</si>
  <si>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</si>
  <si>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</si>
  <si>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</si>
  <si>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</si>
  <si>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</si>
  <si>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</si>
  <si>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</si>
  <si>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</si>
  <si>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</si>
  <si>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</si>
  <si>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</si>
  <si>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</si>
  <si>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</si>
  <si>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</si>
  <si>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</si>
  <si>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</si>
  <si>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</si>
  <si>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</si>
  <si>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</si>
  <si>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</si>
  <si>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</si>
  <si>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</si>
  <si>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</si>
  <si>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</si>
  <si>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</si>
  <si>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</si>
  <si>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</si>
  <si>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</si>
  <si>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</si>
  <si>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</si>
  <si>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</si>
  <si>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</si>
  <si>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</si>
  <si>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</si>
  <si>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</si>
  <si>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</si>
  <si>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</si>
  <si>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</si>
  <si>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</si>
  <si>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</si>
  <si>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</si>
  <si>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</si>
  <si>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</si>
  <si>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</si>
  <si>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</si>
  <si>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</si>
  <si>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</si>
  <si>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</si>
  <si>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</si>
  <si>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</si>
  <si>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</si>
  <si>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</si>
  <si>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</si>
  <si>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</si>
  <si>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</si>
  <si>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</si>
  <si>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</si>
  <si>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</si>
  <si>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</si>
  <si>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</si>
  <si>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</si>
  <si>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</si>
  <si>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</si>
  <si>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</si>
  <si>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</si>
  <si>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</si>
  <si>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</si>
  <si>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</si>
  <si>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</si>
  <si>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</si>
  <si>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</si>
  <si>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</si>
  <si>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</si>
  <si>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</si>
  <si>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</si>
  <si>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</si>
  <si>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</si>
  <si>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</si>
  <si>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</si>
  <si>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</si>
  <si>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</si>
  <si>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</si>
  <si>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</si>
  <si>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</si>
  <si>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</si>
  <si>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</si>
  <si>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</si>
  <si>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</si>
  <si>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</si>
  <si>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</si>
  <si>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</si>
  <si>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</si>
  <si>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</si>
  <si>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</si>
  <si>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</si>
  <si>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</si>
  <si>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</si>
  <si>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</si>
  <si>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</si>
  <si>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</si>
  <si>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</si>
  <si>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</si>
  <si>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</si>
  <si>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</si>
  <si>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</si>
  <si>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</si>
  <si>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</si>
  <si>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</si>
  <si>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</si>
  <si>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</si>
  <si>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</si>
  <si>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</si>
  <si>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</si>
  <si>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</si>
  <si>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</si>
  <si>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</si>
  <si>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</si>
  <si>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</si>
  <si>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</si>
  <si>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</si>
  <si>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</si>
  <si>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</si>
  <si>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</si>
  <si>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</si>
  <si>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</si>
  <si>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</si>
  <si>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</si>
  <si>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</si>
  <si>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</si>
  <si>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</si>
  <si>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</si>
  <si>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</si>
  <si>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</si>
  <si>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</si>
  <si>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</si>
  <si>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</si>
  <si>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</si>
  <si>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</si>
  <si>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</si>
  <si>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</si>
  <si>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</si>
  <si>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</si>
  <si>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</si>
  <si>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</si>
  <si>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</si>
  <si>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</si>
  <si>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</si>
  <si>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</si>
  <si>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</si>
  <si>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</si>
  <si>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</si>
  <si>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</si>
  <si>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</si>
  <si>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</si>
  <si>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</si>
  <si>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</si>
  <si>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</si>
  <si>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</si>
  <si>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</si>
  <si>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</si>
  <si>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</si>
  <si>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</si>
  <si>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</si>
  <si>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</si>
  <si>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</si>
  <si>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</si>
  <si>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</si>
  <si>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</si>
  <si>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</si>
  <si>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</si>
  <si>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</si>
  <si>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</si>
  <si>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</si>
  <si>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</si>
  <si>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</si>
  <si>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</si>
  <si>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</si>
  <si>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</si>
  <si>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</si>
  <si>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</si>
  <si>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</si>
  <si>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</si>
  <si>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</si>
  <si>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</si>
  <si>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</si>
  <si>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</si>
  <si>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</si>
  <si>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</si>
  <si>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</si>
  <si>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</si>
  <si>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</si>
  <si>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</si>
  <si>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</si>
  <si>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</si>
  <si>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</si>
  <si>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</si>
  <si>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</si>
  <si>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</si>
  <si>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</si>
  <si>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</si>
  <si>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</si>
  <si>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</si>
  <si>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</si>
  <si>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</si>
  <si>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</si>
  <si>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</si>
  <si>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</si>
  <si>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</si>
  <si>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</si>
  <si>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</si>
  <si>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</si>
  <si>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</si>
  <si>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</si>
  <si>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</si>
  <si>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</si>
  <si>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</si>
  <si>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</si>
  <si>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</si>
  <si>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</si>
  <si>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</si>
  <si>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</si>
  <si>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</si>
  <si>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</si>
  <si>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</si>
  <si>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</si>
  <si>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</si>
  <si>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</si>
  <si>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</si>
  <si>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</si>
  <si>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</si>
  <si>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</si>
  <si>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</si>
  <si>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</si>
  <si>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</si>
  <si>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</si>
  <si>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</si>
  <si>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</si>
  <si>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</si>
  <si>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</si>
  <si>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</si>
  <si>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</si>
  <si>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</si>
  <si>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</si>
  <si>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</si>
  <si>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</si>
  <si>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</si>
  <si>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</si>
  <si>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</si>
  <si>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</si>
  <si>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</si>
  <si>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</si>
  <si>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</si>
  <si>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</si>
  <si>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</si>
  <si>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</si>
  <si>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</si>
  <si>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</si>
  <si>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</si>
  <si>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</si>
  <si>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</si>
  <si>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</si>
  <si>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</si>
  <si>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</si>
  <si>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</si>
  <si>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</si>
  <si>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</si>
  <si>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</si>
  <si>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</si>
  <si>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</si>
  <si>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</si>
  <si>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</si>
  <si>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</si>
  <si>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</si>
  <si>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</si>
  <si>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</si>
  <si>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</si>
  <si>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</si>
  <si>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</si>
  <si>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</si>
  <si>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</si>
  <si>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</si>
  <si>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</si>
  <si>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</si>
  <si>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</si>
  <si>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</si>
  <si>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</si>
  <si>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</si>
  <si>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</si>
  <si>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</si>
  <si>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</si>
  <si>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</si>
  <si>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</si>
  <si>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</si>
  <si>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</si>
  <si>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</si>
  <si>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</si>
  <si>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</si>
  <si>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</si>
  <si>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</si>
  <si>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</si>
  <si>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</si>
  <si>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</si>
  <si>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</si>
  <si>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</si>
  <si>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</si>
  <si>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</si>
  <si>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</si>
  <si>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</si>
  <si>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</si>
  <si>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</si>
  <si>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</si>
  <si>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</si>
  <si>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</si>
  <si>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</si>
  <si>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</si>
  <si>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</si>
  <si>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</si>
  <si>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</si>
  <si>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</si>
  <si>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</si>
  <si>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</si>
  <si>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</si>
  <si>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</si>
  <si>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</si>
  <si>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</si>
  <si>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</si>
  <si>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</si>
  <si>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</si>
  <si>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</si>
  <si>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</si>
  <si>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</si>
  <si>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</si>
  <si>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</si>
  <si>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</si>
  <si>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</si>
  <si>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</si>
  <si>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</si>
  <si>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</si>
  <si>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</si>
  <si>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</si>
  <si>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</si>
  <si>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</si>
  <si>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</si>
  <si>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</si>
  <si>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</si>
  <si>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</si>
  <si>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</si>
  <si>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</si>
  <si>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</si>
  <si>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</si>
  <si>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</si>
  <si>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</si>
  <si>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</si>
  <si>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</si>
  <si>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</si>
  <si>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</si>
  <si>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</si>
  <si>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</si>
  <si>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</si>
  <si>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</si>
  <si>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</si>
  <si>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</si>
  <si>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</si>
  <si>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</si>
  <si>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</si>
  <si>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</si>
  <si>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</si>
  <si>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</si>
  <si>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</si>
  <si>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</si>
  <si>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</si>
  <si>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</si>
  <si>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</si>
  <si>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</si>
  <si>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</si>
  <si>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</si>
  <si>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</si>
  <si>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</si>
  <si>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</si>
  <si>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</si>
  <si>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</si>
  <si>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</si>
  <si>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</si>
  <si>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</si>
  <si>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</si>
  <si>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</si>
  <si>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</si>
  <si>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</si>
  <si>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</si>
  <si>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</si>
  <si>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</si>
  <si>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</si>
  <si>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</si>
  <si>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</si>
  <si>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</si>
  <si>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</si>
  <si>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</si>
  <si>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</si>
  <si>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</si>
  <si>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</si>
  <si>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</si>
  <si>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</si>
  <si>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</si>
  <si>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</si>
  <si>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</si>
  <si>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</si>
  <si>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</si>
  <si>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</si>
  <si>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</si>
  <si>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</si>
  <si>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</si>
  <si>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</si>
  <si>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</si>
  <si>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</si>
  <si>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</si>
  <si>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</si>
  <si>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</si>
  <si>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</si>
  <si>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</si>
  <si>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</si>
  <si>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</si>
  <si>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</si>
  <si>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</si>
  <si>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</si>
  <si>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</si>
  <si>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</si>
  <si>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</si>
  <si>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</si>
  <si>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</si>
  <si>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</si>
  <si>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</si>
  <si>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</si>
  <si>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</si>
  <si>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</si>
  <si>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</si>
  <si>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</si>
  <si>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</si>
  <si>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</si>
  <si>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</si>
  <si>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</si>
  <si>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</si>
  <si>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</si>
  <si>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</si>
  <si>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</si>
  <si>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</si>
  <si>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</si>
  <si>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</si>
  <si>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</si>
  <si>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</si>
  <si>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</si>
  <si>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</si>
  <si>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</si>
  <si>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</si>
  <si>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</si>
  <si>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</si>
  <si>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</si>
  <si>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</si>
  <si>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</si>
  <si>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</si>
  <si>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</si>
  <si>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</si>
  <si>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</si>
  <si>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</si>
  <si>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</si>
  <si>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</si>
  <si>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</si>
  <si>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</si>
  <si>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</si>
  <si>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</si>
  <si>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</si>
  <si>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</si>
  <si>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</si>
  <si>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</si>
  <si>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</si>
  <si>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</si>
  <si>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</si>
  <si>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</si>
  <si>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</si>
  <si>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</si>
  <si>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</si>
  <si>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</si>
  <si>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</si>
  <si>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</si>
  <si>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</si>
  <si>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</si>
  <si>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</si>
  <si>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</si>
  <si>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</si>
  <si>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</si>
  <si>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</si>
  <si>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</si>
  <si>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</si>
  <si>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</si>
  <si>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</si>
  <si>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</si>
  <si>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</si>
  <si>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</si>
  <si>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</si>
  <si>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</si>
  <si>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</si>
  <si>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</si>
  <si>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</si>
  <si>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</si>
  <si>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</si>
  <si>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</si>
  <si>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</si>
  <si>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</si>
  <si>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</si>
  <si>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</si>
  <si>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</si>
  <si>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</si>
  <si>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</si>
  <si>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</si>
  <si>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</si>
  <si>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</si>
  <si>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</si>
  <si>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</si>
  <si>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</si>
  <si>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</si>
  <si>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</si>
  <si>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</si>
  <si>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</si>
  <si>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</si>
  <si>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</si>
  <si>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</si>
  <si>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</si>
  <si>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</si>
  <si>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</si>
  <si>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</si>
  <si>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</si>
  <si>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</si>
  <si>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</si>
  <si>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</si>
  <si>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</si>
  <si>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</si>
  <si>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</si>
  <si>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</si>
  <si>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</si>
  <si>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</si>
  <si>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</si>
  <si>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</si>
  <si>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</si>
  <si>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</si>
  <si>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</si>
  <si>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</si>
  <si>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</si>
  <si>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</si>
  <si>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</si>
  <si>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</si>
  <si>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</si>
  <si>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</si>
  <si>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</si>
  <si>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</si>
  <si>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</si>
  <si>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</si>
  <si>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</si>
  <si>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</si>
  <si>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</si>
  <si>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</si>
  <si>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</si>
  <si>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</si>
  <si>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</si>
  <si>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</si>
  <si>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</si>
  <si>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</si>
  <si>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</si>
  <si>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</si>
  <si>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</si>
  <si>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</si>
  <si>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</si>
  <si>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</si>
  <si>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</si>
  <si>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</si>
  <si>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</si>
  <si>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</si>
  <si>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</si>
  <si>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</si>
  <si>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</si>
  <si>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</si>
  <si>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</si>
  <si>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</si>
  <si>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</si>
  <si>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</si>
  <si>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</si>
  <si>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</si>
  <si>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</si>
  <si>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</si>
  <si>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</si>
  <si>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</si>
  <si>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</si>
  <si>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</si>
  <si>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</si>
  <si>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</si>
  <si>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</si>
  <si>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</si>
  <si>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</si>
  <si>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</si>
  <si>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</si>
  <si>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</si>
  <si>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</si>
  <si>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</si>
  <si>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</si>
  <si>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</si>
  <si>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</si>
  <si>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</si>
  <si>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</si>
  <si>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</si>
  <si>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</si>
  <si>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</si>
  <si>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</si>
  <si>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</si>
  <si>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</si>
  <si>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</si>
  <si>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</si>
  <si>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</si>
  <si>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</si>
  <si>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</si>
  <si>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</si>
  <si>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</si>
  <si>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</si>
  <si>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</si>
  <si>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</si>
  <si>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</si>
  <si>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</si>
  <si>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</si>
  <si>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</si>
  <si>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</si>
  <si>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</si>
  <si>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</si>
  <si>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</si>
  <si>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</si>
  <si>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</si>
  <si>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</si>
  <si>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</si>
  <si>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</si>
  <si>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</si>
  <si>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</si>
  <si>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</si>
  <si>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</si>
  <si>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</si>
  <si>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</si>
  <si>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</si>
  <si>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</si>
  <si>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</si>
  <si>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</si>
  <si>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</si>
  <si>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</si>
  <si>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</si>
  <si>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</si>
  <si>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</si>
  <si>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</si>
  <si>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</si>
  <si>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</si>
  <si>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</si>
  <si>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</si>
  <si>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</si>
  <si>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</si>
  <si>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</si>
  <si>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</si>
  <si>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</si>
  <si>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</si>
  <si>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</si>
  <si>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</si>
  <si>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</si>
  <si>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</si>
  <si>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</si>
  <si>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</si>
  <si>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</si>
  <si>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</si>
  <si>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</si>
  <si>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</si>
  <si>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</si>
  <si>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</si>
  <si>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</si>
  <si>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</si>
  <si>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</si>
  <si>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</si>
  <si>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</si>
  <si>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</si>
  <si>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</si>
  <si>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</si>
  <si>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</si>
  <si>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</si>
  <si>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</si>
  <si>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</si>
  <si>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</si>
  <si>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</si>
  <si>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</si>
  <si>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</si>
  <si>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</si>
  <si>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</si>
  <si>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</si>
  <si>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</si>
  <si>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</si>
  <si>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</si>
  <si>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</si>
  <si>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</si>
  <si>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</si>
  <si>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</si>
  <si>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</si>
  <si>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</si>
  <si>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</si>
  <si>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</si>
  <si>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</si>
  <si>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</si>
  <si>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</si>
  <si>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</si>
  <si>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</si>
  <si>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</si>
  <si>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</si>
  <si>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</si>
  <si>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</si>
  <si>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</si>
  <si>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</si>
  <si>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</si>
  <si>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</si>
  <si>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</si>
  <si>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</si>
  <si>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</si>
  <si>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</si>
  <si>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</si>
  <si>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</si>
  <si>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</si>
  <si>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</si>
  <si>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</si>
  <si>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</si>
  <si>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</si>
  <si>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38016</t>
  </si>
  <si>
    <t>NIEUWPOORT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</si>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</sst>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108007.71448022836</c:v>
                </c:pt>
                <c:pt idx="1">
                  <c:v>87573.496100604054</c:v>
                </c:pt>
                <c:pt idx="2">
                  <c:v>1041.7080000000001</c:v>
                </c:pt>
                <c:pt idx="3">
                  <c:v>6581.2469599223032</c:v>
                </c:pt>
                <c:pt idx="4">
                  <c:v>13596.985498660122</c:v>
                </c:pt>
                <c:pt idx="5">
                  <c:v>130737.33980222524</c:v>
                </c:pt>
                <c:pt idx="6">
                  <c:v>1506.7161832252771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108007.71448022836</c:v>
                </c:pt>
                <c:pt idx="1">
                  <c:v>87573.496100604054</c:v>
                </c:pt>
                <c:pt idx="2">
                  <c:v>1041.7080000000001</c:v>
                </c:pt>
                <c:pt idx="3">
                  <c:v>6581.2469599223032</c:v>
                </c:pt>
                <c:pt idx="4">
                  <c:v>13596.985498660122</c:v>
                </c:pt>
                <c:pt idx="5">
                  <c:v>130737.33980222524</c:v>
                </c:pt>
                <c:pt idx="6">
                  <c:v>1506.7161832252771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21867.933868124775</c:v>
                </c:pt>
                <c:pt idx="2">
                  <c:v>18001.652883178947</c:v>
                </c:pt>
                <c:pt idx="3">
                  <c:v>225.53422206418233</c:v>
                </c:pt>
                <c:pt idx="4">
                  <c:v>1699.8636437672483</c:v>
                </c:pt>
                <c:pt idx="5">
                  <c:v>2920.8516405892801</c:v>
                </c:pt>
                <c:pt idx="6">
                  <c:v>32802.520922401149</c:v>
                </c:pt>
                <c:pt idx="7">
                  <c:v>350.41829447751434</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21867.933868124775</c:v>
                </c:pt>
                <c:pt idx="2">
                  <c:v>18001.652883178947</c:v>
                </c:pt>
                <c:pt idx="3">
                  <c:v>225.53422206418233</c:v>
                </c:pt>
                <c:pt idx="4">
                  <c:v>1699.8636437672483</c:v>
                </c:pt>
                <c:pt idx="5">
                  <c:v>2920.8516405892801</c:v>
                </c:pt>
                <c:pt idx="6">
                  <c:v>32802.520922401149</c:v>
                </c:pt>
                <c:pt idx="7">
                  <c:v>350.41829447751434</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38016</v>
      </c>
      <c r="B6" s="384"/>
      <c r="C6" s="385"/>
    </row>
    <row r="7" spans="1:7" s="382" customFormat="1" ht="15.75" customHeight="1">
      <c r="A7" s="386" t="str">
        <f>txtMunicipality</f>
        <v>NIEUWPOORT</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37000.989407883186</v>
      </c>
      <c r="D10" s="973">
        <f ca="1">tertiair!C16</f>
        <v>0</v>
      </c>
      <c r="E10" s="973">
        <f ca="1">tertiair!D16</f>
        <v>41991.050498904879</v>
      </c>
      <c r="F10" s="973">
        <f>tertiair!E16</f>
        <v>495.88214192955195</v>
      </c>
      <c r="G10" s="973">
        <f ca="1">tertiair!F16</f>
        <v>6073.1494775571882</v>
      </c>
      <c r="H10" s="973">
        <f>tertiair!G16</f>
        <v>0</v>
      </c>
      <c r="I10" s="973">
        <f>tertiair!H16</f>
        <v>0</v>
      </c>
      <c r="J10" s="973">
        <f>tertiair!I16</f>
        <v>0</v>
      </c>
      <c r="K10" s="973">
        <f>tertiair!J16</f>
        <v>7.5796307010755168E-2</v>
      </c>
      <c r="L10" s="973">
        <f>tertiair!K16</f>
        <v>0</v>
      </c>
      <c r="M10" s="973">
        <f ca="1">tertiair!L16</f>
        <v>0</v>
      </c>
      <c r="N10" s="973">
        <f>tertiair!M16</f>
        <v>0</v>
      </c>
      <c r="O10" s="973">
        <f ca="1">tertiair!N16</f>
        <v>3027.1734446889018</v>
      </c>
      <c r="P10" s="973">
        <f>tertiair!O16</f>
        <v>7.8166666666666664</v>
      </c>
      <c r="Q10" s="974">
        <f>tertiair!P16</f>
        <v>19.066666666666666</v>
      </c>
      <c r="R10" s="668">
        <f ca="1">SUM(C10:Q10)</f>
        <v>88615.204100604053</v>
      </c>
      <c r="S10" s="67"/>
    </row>
    <row r="11" spans="1:19" s="441" customFormat="1">
      <c r="A11" s="777" t="s">
        <v>219</v>
      </c>
      <c r="B11" s="782"/>
      <c r="C11" s="973">
        <f>huishoudens!B8</f>
        <v>27074.589191444644</v>
      </c>
      <c r="D11" s="973">
        <f>huishoudens!C8</f>
        <v>0</v>
      </c>
      <c r="E11" s="973">
        <f>huishoudens!D8</f>
        <v>47031.056815863973</v>
      </c>
      <c r="F11" s="973">
        <f>huishoudens!E8</f>
        <v>924.82401994760551</v>
      </c>
      <c r="G11" s="973">
        <f>huishoudens!F8</f>
        <v>23430.895124205257</v>
      </c>
      <c r="H11" s="973">
        <f>huishoudens!G8</f>
        <v>0</v>
      </c>
      <c r="I11" s="973">
        <f>huishoudens!H8</f>
        <v>0</v>
      </c>
      <c r="J11" s="973">
        <f>huishoudens!I8</f>
        <v>0</v>
      </c>
      <c r="K11" s="973">
        <f>huishoudens!J8</f>
        <v>112.74683859737425</v>
      </c>
      <c r="L11" s="973">
        <f>huishoudens!K8</f>
        <v>0</v>
      </c>
      <c r="M11" s="973">
        <f>huishoudens!L8</f>
        <v>0</v>
      </c>
      <c r="N11" s="973">
        <f>huishoudens!M8</f>
        <v>0</v>
      </c>
      <c r="O11" s="973">
        <f>huishoudens!N8</f>
        <v>8245.4924901695049</v>
      </c>
      <c r="P11" s="973">
        <f>huishoudens!O8</f>
        <v>120.37666666666668</v>
      </c>
      <c r="Q11" s="974">
        <f>huishoudens!P8</f>
        <v>1067.7333333333333</v>
      </c>
      <c r="R11" s="668">
        <f>SUM(C11:Q11)</f>
        <v>108007.71448022836</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5639.2965509758087</v>
      </c>
      <c r="D13" s="973">
        <f>industrie!C18</f>
        <v>0</v>
      </c>
      <c r="E13" s="973">
        <f>industrie!D18</f>
        <v>4414.8197841974434</v>
      </c>
      <c r="F13" s="973">
        <f>industrie!E18</f>
        <v>789.91148841824645</v>
      </c>
      <c r="G13" s="973">
        <f>industrie!F18</f>
        <v>2342.6032435139859</v>
      </c>
      <c r="H13" s="973">
        <f>industrie!G18</f>
        <v>0</v>
      </c>
      <c r="I13" s="973">
        <f>industrie!H18</f>
        <v>0</v>
      </c>
      <c r="J13" s="973">
        <f>industrie!I18</f>
        <v>0</v>
      </c>
      <c r="K13" s="973">
        <f>industrie!J18</f>
        <v>9.438787216482071</v>
      </c>
      <c r="L13" s="973">
        <f>industrie!K18</f>
        <v>0</v>
      </c>
      <c r="M13" s="973">
        <f>industrie!L18</f>
        <v>0</v>
      </c>
      <c r="N13" s="973">
        <f>industrie!M18</f>
        <v>0</v>
      </c>
      <c r="O13" s="973">
        <f>industrie!N18</f>
        <v>400.91564433815461</v>
      </c>
      <c r="P13" s="973">
        <f>industrie!O18</f>
        <v>0</v>
      </c>
      <c r="Q13" s="974">
        <f>industrie!P18</f>
        <v>0</v>
      </c>
      <c r="R13" s="668">
        <f>SUM(C13:Q13)</f>
        <v>13596.985498660122</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69714.875150303633</v>
      </c>
      <c r="D16" s="700">
        <f t="shared" ref="D16:R16" ca="1" si="0">SUM(D9:D15)</f>
        <v>0</v>
      </c>
      <c r="E16" s="700">
        <f t="shared" ca="1" si="0"/>
        <v>93436.927098966305</v>
      </c>
      <c r="F16" s="700">
        <f t="shared" si="0"/>
        <v>2210.617650295404</v>
      </c>
      <c r="G16" s="700">
        <f t="shared" ca="1" si="0"/>
        <v>31846.647845276431</v>
      </c>
      <c r="H16" s="700">
        <f t="shared" si="0"/>
        <v>0</v>
      </c>
      <c r="I16" s="700">
        <f t="shared" si="0"/>
        <v>0</v>
      </c>
      <c r="J16" s="700">
        <f t="shared" si="0"/>
        <v>0</v>
      </c>
      <c r="K16" s="700">
        <f t="shared" si="0"/>
        <v>122.26142212086708</v>
      </c>
      <c r="L16" s="700">
        <f t="shared" si="0"/>
        <v>0</v>
      </c>
      <c r="M16" s="700">
        <f t="shared" ca="1" si="0"/>
        <v>0</v>
      </c>
      <c r="N16" s="700">
        <f t="shared" si="0"/>
        <v>0</v>
      </c>
      <c r="O16" s="700">
        <f t="shared" ca="1" si="0"/>
        <v>11673.581579196562</v>
      </c>
      <c r="P16" s="700">
        <f t="shared" si="0"/>
        <v>128.19333333333336</v>
      </c>
      <c r="Q16" s="700">
        <f t="shared" si="0"/>
        <v>1086.8</v>
      </c>
      <c r="R16" s="700">
        <f t="shared" ca="1" si="0"/>
        <v>210219.90407949255</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833.4770764929325</v>
      </c>
      <c r="D19" s="973">
        <f>transport!C54</f>
        <v>0</v>
      </c>
      <c r="E19" s="973">
        <f>transport!D54</f>
        <v>0</v>
      </c>
      <c r="F19" s="973">
        <f>transport!E54</f>
        <v>0</v>
      </c>
      <c r="G19" s="973">
        <f>transport!F54</f>
        <v>0</v>
      </c>
      <c r="H19" s="973">
        <f>transport!G54</f>
        <v>636.5803554071648</v>
      </c>
      <c r="I19" s="973">
        <f>transport!H54</f>
        <v>0</v>
      </c>
      <c r="J19" s="973">
        <f>transport!I54</f>
        <v>0</v>
      </c>
      <c r="K19" s="973">
        <f>transport!J54</f>
        <v>0</v>
      </c>
      <c r="L19" s="973">
        <f>transport!K54</f>
        <v>0</v>
      </c>
      <c r="M19" s="973">
        <f>transport!L54</f>
        <v>0</v>
      </c>
      <c r="N19" s="973">
        <f>transport!M54</f>
        <v>36.658751325179686</v>
      </c>
      <c r="O19" s="973">
        <f>transport!N54</f>
        <v>0</v>
      </c>
      <c r="P19" s="973">
        <f>transport!O54</f>
        <v>0</v>
      </c>
      <c r="Q19" s="974">
        <f>transport!P54</f>
        <v>0</v>
      </c>
      <c r="R19" s="668">
        <f>SUM(C19:Q19)</f>
        <v>1506.7161832252771</v>
      </c>
      <c r="S19" s="67"/>
    </row>
    <row r="20" spans="1:19" s="441" customFormat="1">
      <c r="A20" s="777" t="s">
        <v>301</v>
      </c>
      <c r="B20" s="782"/>
      <c r="C20" s="973">
        <f>transport!B14</f>
        <v>63.165301100022965</v>
      </c>
      <c r="D20" s="973">
        <f>transport!C14</f>
        <v>0</v>
      </c>
      <c r="E20" s="973">
        <f>transport!D14</f>
        <v>94.267755282898605</v>
      </c>
      <c r="F20" s="973">
        <f>transport!E14</f>
        <v>182.35796504518839</v>
      </c>
      <c r="G20" s="973">
        <f>transport!F14</f>
        <v>0</v>
      </c>
      <c r="H20" s="973">
        <f>transport!G14</f>
        <v>108104.80022319054</v>
      </c>
      <c r="I20" s="973">
        <f>transport!H14</f>
        <v>15519.784583372408</v>
      </c>
      <c r="J20" s="973">
        <f>transport!I14</f>
        <v>0</v>
      </c>
      <c r="K20" s="973">
        <f>transport!J14</f>
        <v>0</v>
      </c>
      <c r="L20" s="973">
        <f>transport!K14</f>
        <v>0</v>
      </c>
      <c r="M20" s="973">
        <f>transport!L14</f>
        <v>0</v>
      </c>
      <c r="N20" s="973">
        <f>transport!M14</f>
        <v>6772.9639742341724</v>
      </c>
      <c r="O20" s="973">
        <f>transport!N14</f>
        <v>0</v>
      </c>
      <c r="P20" s="973">
        <f>transport!O14</f>
        <v>0</v>
      </c>
      <c r="Q20" s="974">
        <f>transport!P14</f>
        <v>0</v>
      </c>
      <c r="R20" s="668">
        <f>SUM(C20:Q20)</f>
        <v>130737.33980222524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896.64237759295543</v>
      </c>
      <c r="D22" s="780">
        <f t="shared" ref="D22:R22" si="1">SUM(D18:D21)</f>
        <v>0</v>
      </c>
      <c r="E22" s="780">
        <f t="shared" si="1"/>
        <v>94.267755282898605</v>
      </c>
      <c r="F22" s="780">
        <f t="shared" si="1"/>
        <v>182.35796504518839</v>
      </c>
      <c r="G22" s="780">
        <f t="shared" si="1"/>
        <v>0</v>
      </c>
      <c r="H22" s="780">
        <f t="shared" si="1"/>
        <v>108741.3805785977</v>
      </c>
      <c r="I22" s="780">
        <f t="shared" si="1"/>
        <v>15519.784583372408</v>
      </c>
      <c r="J22" s="780">
        <f t="shared" si="1"/>
        <v>0</v>
      </c>
      <c r="K22" s="780">
        <f t="shared" si="1"/>
        <v>0</v>
      </c>
      <c r="L22" s="780">
        <f t="shared" si="1"/>
        <v>0</v>
      </c>
      <c r="M22" s="780">
        <f t="shared" si="1"/>
        <v>0</v>
      </c>
      <c r="N22" s="780">
        <f t="shared" si="1"/>
        <v>6809.6227255593521</v>
      </c>
      <c r="O22" s="780">
        <f t="shared" si="1"/>
        <v>0</v>
      </c>
      <c r="P22" s="780">
        <f t="shared" si="1"/>
        <v>0</v>
      </c>
      <c r="Q22" s="780">
        <f t="shared" si="1"/>
        <v>0</v>
      </c>
      <c r="R22" s="780">
        <f t="shared" si="1"/>
        <v>132244.05598545051</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1202.5814994980203</v>
      </c>
      <c r="D24" s="973">
        <f>+landbouw!C8</f>
        <v>0</v>
      </c>
      <c r="E24" s="973">
        <f>+landbouw!D8</f>
        <v>159.20014068686174</v>
      </c>
      <c r="F24" s="973">
        <f>+landbouw!E8</f>
        <v>35.347543378101889</v>
      </c>
      <c r="G24" s="973">
        <f>+landbouw!F8</f>
        <v>5009.8895428153828</v>
      </c>
      <c r="H24" s="973">
        <f>+landbouw!G8</f>
        <v>0</v>
      </c>
      <c r="I24" s="973">
        <f>+landbouw!H8</f>
        <v>0</v>
      </c>
      <c r="J24" s="973">
        <f>+landbouw!I8</f>
        <v>0</v>
      </c>
      <c r="K24" s="973">
        <f>+landbouw!J8</f>
        <v>174.22823354393716</v>
      </c>
      <c r="L24" s="973">
        <f>+landbouw!K8</f>
        <v>0</v>
      </c>
      <c r="M24" s="973">
        <f>+landbouw!L8</f>
        <v>0</v>
      </c>
      <c r="N24" s="973">
        <f>+landbouw!M8</f>
        <v>0</v>
      </c>
      <c r="O24" s="973">
        <f>+landbouw!N8</f>
        <v>0</v>
      </c>
      <c r="P24" s="973">
        <f>+landbouw!O8</f>
        <v>0</v>
      </c>
      <c r="Q24" s="974">
        <f>+landbouw!P8</f>
        <v>0</v>
      </c>
      <c r="R24" s="668">
        <f>SUM(C24:Q24)</f>
        <v>6581.2469599223032</v>
      </c>
      <c r="S24" s="67"/>
    </row>
    <row r="25" spans="1:19" s="441" customFormat="1" ht="15" thickBot="1">
      <c r="A25" s="799" t="s">
        <v>808</v>
      </c>
      <c r="B25" s="976"/>
      <c r="C25" s="977">
        <f>IF(Onbekend_ele_kWh="---",0,Onbekend_ele_kWh)/1000+IF(REST_rest_ele_kWh="---",0,REST_rest_ele_kWh)/1000</f>
        <v>10288.164999943901</v>
      </c>
      <c r="D25" s="977"/>
      <c r="E25" s="977">
        <f>IF(onbekend_gas_kWh="---",0,onbekend_gas_kWh)/1000+IF(REST_rest_gas_kWh="---",0,REST_rest_gas_kWh)/1000</f>
        <v>9133.7646395192114</v>
      </c>
      <c r="F25" s="977"/>
      <c r="G25" s="977"/>
      <c r="H25" s="977"/>
      <c r="I25" s="977"/>
      <c r="J25" s="977"/>
      <c r="K25" s="977"/>
      <c r="L25" s="977"/>
      <c r="M25" s="977"/>
      <c r="N25" s="977"/>
      <c r="O25" s="977"/>
      <c r="P25" s="977"/>
      <c r="Q25" s="978"/>
      <c r="R25" s="668">
        <f>SUM(C25:Q25)</f>
        <v>19421.929639463113</v>
      </c>
      <c r="S25" s="67"/>
    </row>
    <row r="26" spans="1:19" s="441" customFormat="1" ht="15.75" thickBot="1">
      <c r="A26" s="673" t="s">
        <v>809</v>
      </c>
      <c r="B26" s="785"/>
      <c r="C26" s="780">
        <f>SUM(C24:C25)</f>
        <v>11490.746499441922</v>
      </c>
      <c r="D26" s="780">
        <f t="shared" ref="D26:R26" si="2">SUM(D24:D25)</f>
        <v>0</v>
      </c>
      <c r="E26" s="780">
        <f t="shared" si="2"/>
        <v>9292.9647802060736</v>
      </c>
      <c r="F26" s="780">
        <f t="shared" si="2"/>
        <v>35.347543378101889</v>
      </c>
      <c r="G26" s="780">
        <f t="shared" si="2"/>
        <v>5009.8895428153828</v>
      </c>
      <c r="H26" s="780">
        <f t="shared" si="2"/>
        <v>0</v>
      </c>
      <c r="I26" s="780">
        <f t="shared" si="2"/>
        <v>0</v>
      </c>
      <c r="J26" s="780">
        <f t="shared" si="2"/>
        <v>0</v>
      </c>
      <c r="K26" s="780">
        <f t="shared" si="2"/>
        <v>174.22823354393716</v>
      </c>
      <c r="L26" s="780">
        <f t="shared" si="2"/>
        <v>0</v>
      </c>
      <c r="M26" s="780">
        <f t="shared" si="2"/>
        <v>0</v>
      </c>
      <c r="N26" s="780">
        <f t="shared" si="2"/>
        <v>0</v>
      </c>
      <c r="O26" s="780">
        <f t="shared" si="2"/>
        <v>0</v>
      </c>
      <c r="P26" s="780">
        <f t="shared" si="2"/>
        <v>0</v>
      </c>
      <c r="Q26" s="780">
        <f t="shared" si="2"/>
        <v>0</v>
      </c>
      <c r="R26" s="780">
        <f t="shared" si="2"/>
        <v>26003.176599385417</v>
      </c>
      <c r="S26" s="67"/>
    </row>
    <row r="27" spans="1:19" s="441" customFormat="1" ht="17.25" thickTop="1" thickBot="1">
      <c r="A27" s="674" t="s">
        <v>115</v>
      </c>
      <c r="B27" s="773"/>
      <c r="C27" s="675">
        <f ca="1">C22+C16+C26</f>
        <v>82102.264027338519</v>
      </c>
      <c r="D27" s="675">
        <f t="shared" ref="D27:R27" ca="1" si="3">D22+D16+D26</f>
        <v>0</v>
      </c>
      <c r="E27" s="675">
        <f t="shared" ca="1" si="3"/>
        <v>102824.15963445528</v>
      </c>
      <c r="F27" s="675">
        <f t="shared" si="3"/>
        <v>2428.3231587186942</v>
      </c>
      <c r="G27" s="675">
        <f t="shared" ca="1" si="3"/>
        <v>36856.537388091812</v>
      </c>
      <c r="H27" s="675">
        <f t="shared" si="3"/>
        <v>108741.3805785977</v>
      </c>
      <c r="I27" s="675">
        <f t="shared" si="3"/>
        <v>15519.784583372408</v>
      </c>
      <c r="J27" s="675">
        <f t="shared" si="3"/>
        <v>0</v>
      </c>
      <c r="K27" s="675">
        <f t="shared" si="3"/>
        <v>296.48965566480422</v>
      </c>
      <c r="L27" s="675">
        <f t="shared" si="3"/>
        <v>0</v>
      </c>
      <c r="M27" s="675">
        <f t="shared" ca="1" si="3"/>
        <v>0</v>
      </c>
      <c r="N27" s="675">
        <f t="shared" si="3"/>
        <v>6809.6227255593521</v>
      </c>
      <c r="O27" s="675">
        <f t="shared" ca="1" si="3"/>
        <v>11673.581579196562</v>
      </c>
      <c r="P27" s="675">
        <f t="shared" si="3"/>
        <v>128.19333333333336</v>
      </c>
      <c r="Q27" s="675">
        <f t="shared" si="3"/>
        <v>1086.8</v>
      </c>
      <c r="R27" s="675">
        <f t="shared" ca="1" si="3"/>
        <v>368467.13666432846</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8010.8719158458844</v>
      </c>
      <c r="D40" s="973">
        <f ca="1">tertiair!C20</f>
        <v>0</v>
      </c>
      <c r="E40" s="973">
        <f ca="1">tertiair!D20</f>
        <v>8482.1922007787853</v>
      </c>
      <c r="F40" s="973">
        <f>tertiair!E20</f>
        <v>112.5652462180083</v>
      </c>
      <c r="G40" s="973">
        <f ca="1">tertiair!F20</f>
        <v>1621.5309105077692</v>
      </c>
      <c r="H40" s="973">
        <f>tertiair!G20</f>
        <v>0</v>
      </c>
      <c r="I40" s="973">
        <f>tertiair!H20</f>
        <v>0</v>
      </c>
      <c r="J40" s="973">
        <f>tertiair!I20</f>
        <v>0</v>
      </c>
      <c r="K40" s="973">
        <f>tertiair!J20</f>
        <v>2.6831892681807329E-2</v>
      </c>
      <c r="L40" s="973">
        <f>tertiair!K20</f>
        <v>0</v>
      </c>
      <c r="M40" s="973">
        <f ca="1">tertiair!L20</f>
        <v>0</v>
      </c>
      <c r="N40" s="973">
        <f>tertiair!M20</f>
        <v>0</v>
      </c>
      <c r="O40" s="973">
        <f ca="1">tertiair!N20</f>
        <v>0</v>
      </c>
      <c r="P40" s="973">
        <f>tertiair!O20</f>
        <v>0</v>
      </c>
      <c r="Q40" s="742">
        <f>tertiair!P20</f>
        <v>0</v>
      </c>
      <c r="R40" s="818">
        <f t="shared" ca="1" si="4"/>
        <v>18227.187105243131</v>
      </c>
    </row>
    <row r="41" spans="1:18">
      <c r="A41" s="790" t="s">
        <v>219</v>
      </c>
      <c r="B41" s="797"/>
      <c r="C41" s="973">
        <f ca="1">huishoudens!B12</f>
        <v>5861.7639597658717</v>
      </c>
      <c r="D41" s="973">
        <f ca="1">huishoudens!C12</f>
        <v>0</v>
      </c>
      <c r="E41" s="973">
        <f>huishoudens!D12</f>
        <v>9500.2734768045229</v>
      </c>
      <c r="F41" s="973">
        <f>huishoudens!E12</f>
        <v>209.93505252810647</v>
      </c>
      <c r="G41" s="973">
        <f>huishoudens!F12</f>
        <v>6256.0489981628043</v>
      </c>
      <c r="H41" s="973">
        <f>huishoudens!G12</f>
        <v>0</v>
      </c>
      <c r="I41" s="973">
        <f>huishoudens!H12</f>
        <v>0</v>
      </c>
      <c r="J41" s="973">
        <f>huishoudens!I12</f>
        <v>0</v>
      </c>
      <c r="K41" s="973">
        <f>huishoudens!J12</f>
        <v>39.912380863470482</v>
      </c>
      <c r="L41" s="973">
        <f>huishoudens!K12</f>
        <v>0</v>
      </c>
      <c r="M41" s="973">
        <f>huishoudens!L12</f>
        <v>0</v>
      </c>
      <c r="N41" s="973">
        <f>huishoudens!M12</f>
        <v>0</v>
      </c>
      <c r="O41" s="973">
        <f>huishoudens!N12</f>
        <v>0</v>
      </c>
      <c r="P41" s="973">
        <f>huishoudens!O12</f>
        <v>0</v>
      </c>
      <c r="Q41" s="742">
        <f>huishoudens!P12</f>
        <v>0</v>
      </c>
      <c r="R41" s="818">
        <f t="shared" ca="1" si="4"/>
        <v>21867.933868124775</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1220.9317396175852</v>
      </c>
      <c r="D43" s="973">
        <f ca="1">industrie!C22</f>
        <v>0</v>
      </c>
      <c r="E43" s="973">
        <f>industrie!D22</f>
        <v>891.79359640788357</v>
      </c>
      <c r="F43" s="973">
        <f>industrie!E22</f>
        <v>179.30990787094194</v>
      </c>
      <c r="G43" s="973">
        <f>industrie!F22</f>
        <v>625.47506601823432</v>
      </c>
      <c r="H43" s="973">
        <f>industrie!G22</f>
        <v>0</v>
      </c>
      <c r="I43" s="973">
        <f>industrie!H22</f>
        <v>0</v>
      </c>
      <c r="J43" s="973">
        <f>industrie!I22</f>
        <v>0</v>
      </c>
      <c r="K43" s="973">
        <f>industrie!J22</f>
        <v>3.3413306746346532</v>
      </c>
      <c r="L43" s="973">
        <f>industrie!K22</f>
        <v>0</v>
      </c>
      <c r="M43" s="973">
        <f>industrie!L22</f>
        <v>0</v>
      </c>
      <c r="N43" s="973">
        <f>industrie!M22</f>
        <v>0</v>
      </c>
      <c r="O43" s="973">
        <f>industrie!N22</f>
        <v>0</v>
      </c>
      <c r="P43" s="973">
        <f>industrie!O22</f>
        <v>0</v>
      </c>
      <c r="Q43" s="742">
        <f>industrie!P22</f>
        <v>0</v>
      </c>
      <c r="R43" s="817">
        <f t="shared" ca="1" si="4"/>
        <v>2920.8516405892801</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15093.56761522934</v>
      </c>
      <c r="D46" s="700">
        <f t="shared" ref="D46:Q46" ca="1" si="5">SUM(D39:D45)</f>
        <v>0</v>
      </c>
      <c r="E46" s="700">
        <f t="shared" ca="1" si="5"/>
        <v>18874.259273991189</v>
      </c>
      <c r="F46" s="700">
        <f t="shared" si="5"/>
        <v>501.81020661705668</v>
      </c>
      <c r="G46" s="700">
        <f t="shared" ca="1" si="5"/>
        <v>8503.0549746888082</v>
      </c>
      <c r="H46" s="700">
        <f t="shared" si="5"/>
        <v>0</v>
      </c>
      <c r="I46" s="700">
        <f t="shared" si="5"/>
        <v>0</v>
      </c>
      <c r="J46" s="700">
        <f t="shared" si="5"/>
        <v>0</v>
      </c>
      <c r="K46" s="700">
        <f t="shared" si="5"/>
        <v>43.280543430786942</v>
      </c>
      <c r="L46" s="700">
        <f t="shared" si="5"/>
        <v>0</v>
      </c>
      <c r="M46" s="700">
        <f t="shared" ca="1" si="5"/>
        <v>0</v>
      </c>
      <c r="N46" s="700">
        <f t="shared" si="5"/>
        <v>0</v>
      </c>
      <c r="O46" s="700">
        <f t="shared" ca="1" si="5"/>
        <v>0</v>
      </c>
      <c r="P46" s="700">
        <f t="shared" si="5"/>
        <v>0</v>
      </c>
      <c r="Q46" s="700">
        <f t="shared" si="5"/>
        <v>0</v>
      </c>
      <c r="R46" s="700">
        <f ca="1">SUM(R39:R45)</f>
        <v>43015.972613957187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180.45133958380131</v>
      </c>
      <c r="D49" s="973">
        <f ca="1">transport!C58</f>
        <v>0</v>
      </c>
      <c r="E49" s="973">
        <f>transport!D58</f>
        <v>0</v>
      </c>
      <c r="F49" s="973">
        <f>transport!E58</f>
        <v>0</v>
      </c>
      <c r="G49" s="973">
        <f>transport!F58</f>
        <v>0</v>
      </c>
      <c r="H49" s="973">
        <f>transport!G58</f>
        <v>169.96695489371302</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350.41829447751434</v>
      </c>
    </row>
    <row r="50" spans="1:18">
      <c r="A50" s="793" t="s">
        <v>301</v>
      </c>
      <c r="B50" s="803"/>
      <c r="C50" s="671">
        <f ca="1">transport!B18</f>
        <v>13.675556917143306</v>
      </c>
      <c r="D50" s="671">
        <f>transport!C18</f>
        <v>0</v>
      </c>
      <c r="E50" s="671">
        <f>transport!D18</f>
        <v>19.042086567145521</v>
      </c>
      <c r="F50" s="671">
        <f>transport!E18</f>
        <v>41.395258065257764</v>
      </c>
      <c r="G50" s="671">
        <f>transport!F18</f>
        <v>0</v>
      </c>
      <c r="H50" s="671">
        <f>transport!G18</f>
        <v>28863.981659591875</v>
      </c>
      <c r="I50" s="671">
        <f>transport!H18</f>
        <v>3864.4263612597297</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32802.520922401149</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194.12689650094461</v>
      </c>
      <c r="D52" s="700">
        <f t="shared" ref="D52:Q52" ca="1" si="6">SUM(D48:D51)</f>
        <v>0</v>
      </c>
      <c r="E52" s="700">
        <f t="shared" si="6"/>
        <v>19.042086567145521</v>
      </c>
      <c r="F52" s="700">
        <f t="shared" si="6"/>
        <v>41.395258065257764</v>
      </c>
      <c r="G52" s="700">
        <f t="shared" si="6"/>
        <v>0</v>
      </c>
      <c r="H52" s="700">
        <f t="shared" si="6"/>
        <v>29033.948614485587</v>
      </c>
      <c r="I52" s="700">
        <f t="shared" si="6"/>
        <v>3864.4263612597297</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33152.939216878665</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260.36402039541201</v>
      </c>
      <c r="D54" s="671">
        <f ca="1">+landbouw!C12</f>
        <v>0</v>
      </c>
      <c r="E54" s="671">
        <f>+landbouw!D12</f>
        <v>32.158428418746077</v>
      </c>
      <c r="F54" s="671">
        <f>+landbouw!E12</f>
        <v>8.023892346829129</v>
      </c>
      <c r="G54" s="671">
        <f>+landbouw!F12</f>
        <v>1337.6405079317074</v>
      </c>
      <c r="H54" s="671">
        <f>+landbouw!G12</f>
        <v>0</v>
      </c>
      <c r="I54" s="671">
        <f>+landbouw!H12</f>
        <v>0</v>
      </c>
      <c r="J54" s="671">
        <f>+landbouw!I12</f>
        <v>0</v>
      </c>
      <c r="K54" s="671">
        <f>+landbouw!J12</f>
        <v>61.676794674553754</v>
      </c>
      <c r="L54" s="671">
        <f>+landbouw!K12</f>
        <v>0</v>
      </c>
      <c r="M54" s="671">
        <f>+landbouw!L12</f>
        <v>0</v>
      </c>
      <c r="N54" s="671">
        <f>+landbouw!M12</f>
        <v>0</v>
      </c>
      <c r="O54" s="671">
        <f>+landbouw!N12</f>
        <v>0</v>
      </c>
      <c r="P54" s="671">
        <f>+landbouw!O12</f>
        <v>0</v>
      </c>
      <c r="Q54" s="672">
        <f>+landbouw!P12</f>
        <v>0</v>
      </c>
      <c r="R54" s="699">
        <f ca="1">SUM(C54:Q54)</f>
        <v>1699.8636437672483</v>
      </c>
    </row>
    <row r="55" spans="1:18" ht="15" thickBot="1">
      <c r="A55" s="793" t="s">
        <v>808</v>
      </c>
      <c r="B55" s="803"/>
      <c r="C55" s="671">
        <f ca="1">C25*'EF ele_warmte'!B12</f>
        <v>2227.4315736562417</v>
      </c>
      <c r="D55" s="671"/>
      <c r="E55" s="671">
        <f>E25*EF_CO2_aardgas</f>
        <v>1845.0204571828808</v>
      </c>
      <c r="F55" s="671"/>
      <c r="G55" s="671"/>
      <c r="H55" s="671"/>
      <c r="I55" s="671"/>
      <c r="J55" s="671"/>
      <c r="K55" s="671"/>
      <c r="L55" s="671"/>
      <c r="M55" s="671"/>
      <c r="N55" s="671"/>
      <c r="O55" s="671"/>
      <c r="P55" s="671"/>
      <c r="Q55" s="672"/>
      <c r="R55" s="699">
        <f ca="1">SUM(C55:Q55)</f>
        <v>4072.4520308391225</v>
      </c>
    </row>
    <row r="56" spans="1:18" ht="15.75" thickBot="1">
      <c r="A56" s="791" t="s">
        <v>809</v>
      </c>
      <c r="B56" s="804"/>
      <c r="C56" s="700">
        <f ca="1">SUM(C54:C55)</f>
        <v>2487.7955940516536</v>
      </c>
      <c r="D56" s="700">
        <f t="shared" ref="D56:Q56" ca="1" si="7">SUM(D54:D55)</f>
        <v>0</v>
      </c>
      <c r="E56" s="700">
        <f t="shared" si="7"/>
        <v>1877.1788856016269</v>
      </c>
      <c r="F56" s="700">
        <f t="shared" si="7"/>
        <v>8.023892346829129</v>
      </c>
      <c r="G56" s="700">
        <f t="shared" si="7"/>
        <v>1337.6405079317074</v>
      </c>
      <c r="H56" s="700">
        <f t="shared" si="7"/>
        <v>0</v>
      </c>
      <c r="I56" s="700">
        <f t="shared" si="7"/>
        <v>0</v>
      </c>
      <c r="J56" s="700">
        <f t="shared" si="7"/>
        <v>0</v>
      </c>
      <c r="K56" s="700">
        <f t="shared" si="7"/>
        <v>61.676794674553754</v>
      </c>
      <c r="L56" s="700">
        <f t="shared" si="7"/>
        <v>0</v>
      </c>
      <c r="M56" s="700">
        <f t="shared" si="7"/>
        <v>0</v>
      </c>
      <c r="N56" s="700">
        <f t="shared" si="7"/>
        <v>0</v>
      </c>
      <c r="O56" s="700">
        <f t="shared" si="7"/>
        <v>0</v>
      </c>
      <c r="P56" s="700">
        <f t="shared" si="7"/>
        <v>0</v>
      </c>
      <c r="Q56" s="701">
        <f t="shared" si="7"/>
        <v>0</v>
      </c>
      <c r="R56" s="702">
        <f ca="1">SUM(R54:R55)</f>
        <v>5772.3156746063705</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17775.490105781937</v>
      </c>
      <c r="D61" s="708">
        <f t="shared" ref="D61:Q61" ca="1" si="8">D46+D52+D56</f>
        <v>0</v>
      </c>
      <c r="E61" s="708">
        <f t="shared" ca="1" si="8"/>
        <v>20770.480246159961</v>
      </c>
      <c r="F61" s="708">
        <f t="shared" si="8"/>
        <v>551.22935702914356</v>
      </c>
      <c r="G61" s="708">
        <f t="shared" ca="1" si="8"/>
        <v>9840.6954826205147</v>
      </c>
      <c r="H61" s="708">
        <f t="shared" si="8"/>
        <v>29033.948614485587</v>
      </c>
      <c r="I61" s="708">
        <f t="shared" si="8"/>
        <v>3864.4263612597297</v>
      </c>
      <c r="J61" s="708">
        <f t="shared" si="8"/>
        <v>0</v>
      </c>
      <c r="K61" s="708">
        <f t="shared" si="8"/>
        <v>104.9573381053407</v>
      </c>
      <c r="L61" s="708">
        <f t="shared" si="8"/>
        <v>0</v>
      </c>
      <c r="M61" s="708">
        <f t="shared" ca="1" si="8"/>
        <v>0</v>
      </c>
      <c r="N61" s="708">
        <f t="shared" si="8"/>
        <v>0</v>
      </c>
      <c r="O61" s="708">
        <f t="shared" ca="1" si="8"/>
        <v>0</v>
      </c>
      <c r="P61" s="708">
        <f t="shared" si="8"/>
        <v>0</v>
      </c>
      <c r="Q61" s="708">
        <f t="shared" si="8"/>
        <v>0</v>
      </c>
      <c r="R61" s="708">
        <f ca="1">R46+R52+R56</f>
        <v>81941.227505442235</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0.21650426229248723</v>
      </c>
      <c r="D63" s="749">
        <f t="shared" ca="1" si="9"/>
        <v>0</v>
      </c>
      <c r="E63" s="984">
        <f t="shared" ca="1" si="9"/>
        <v>0.20199999999999993</v>
      </c>
      <c r="F63" s="749">
        <f t="shared" si="9"/>
        <v>0.22699999999999998</v>
      </c>
      <c r="G63" s="749">
        <f t="shared" ca="1" si="9"/>
        <v>0.26700000000000002</v>
      </c>
      <c r="H63" s="749">
        <f t="shared" si="9"/>
        <v>0.26700000000000002</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1670.1821007234023</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1670.1821007234023</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27074.589191444644</v>
      </c>
      <c r="C4" s="445">
        <f>huishoudens!C8</f>
        <v>0</v>
      </c>
      <c r="D4" s="445">
        <f>huishoudens!D8</f>
        <v>47031.056815863973</v>
      </c>
      <c r="E4" s="445">
        <f>huishoudens!E8</f>
        <v>924.82401994760551</v>
      </c>
      <c r="F4" s="445">
        <f>huishoudens!F8</f>
        <v>23430.895124205257</v>
      </c>
      <c r="G4" s="445">
        <f>huishoudens!G8</f>
        <v>0</v>
      </c>
      <c r="H4" s="445">
        <f>huishoudens!H8</f>
        <v>0</v>
      </c>
      <c r="I4" s="445">
        <f>huishoudens!I8</f>
        <v>0</v>
      </c>
      <c r="J4" s="445">
        <f>huishoudens!J8</f>
        <v>112.74683859737425</v>
      </c>
      <c r="K4" s="445">
        <f>huishoudens!K8</f>
        <v>0</v>
      </c>
      <c r="L4" s="445">
        <f>huishoudens!L8</f>
        <v>0</v>
      </c>
      <c r="M4" s="445">
        <f>huishoudens!M8</f>
        <v>0</v>
      </c>
      <c r="N4" s="445">
        <f>huishoudens!N8</f>
        <v>8245.4924901695049</v>
      </c>
      <c r="O4" s="445">
        <f>huishoudens!O8</f>
        <v>120.37666666666668</v>
      </c>
      <c r="P4" s="446">
        <f>huishoudens!P8</f>
        <v>1067.7333333333333</v>
      </c>
      <c r="Q4" s="447">
        <f>SUM(B4:P4)</f>
        <v>108007.71448022836</v>
      </c>
    </row>
    <row r="5" spans="1:17">
      <c r="A5" s="444" t="s">
        <v>155</v>
      </c>
      <c r="B5" s="445">
        <f ca="1">tertiair!B16</f>
        <v>35959.281407883187</v>
      </c>
      <c r="C5" s="445">
        <f ca="1">tertiair!C16</f>
        <v>0</v>
      </c>
      <c r="D5" s="445">
        <f ca="1">tertiair!D16</f>
        <v>41991.050498904879</v>
      </c>
      <c r="E5" s="445">
        <f>tertiair!E16</f>
        <v>495.88214192955195</v>
      </c>
      <c r="F5" s="445">
        <f ca="1">tertiair!F16</f>
        <v>6073.1494775571882</v>
      </c>
      <c r="G5" s="445">
        <f>tertiair!G16</f>
        <v>0</v>
      </c>
      <c r="H5" s="445">
        <f>tertiair!H16</f>
        <v>0</v>
      </c>
      <c r="I5" s="445">
        <f>tertiair!I16</f>
        <v>0</v>
      </c>
      <c r="J5" s="445">
        <f>tertiair!J16</f>
        <v>7.5796307010755168E-2</v>
      </c>
      <c r="K5" s="445">
        <f>tertiair!K16</f>
        <v>0</v>
      </c>
      <c r="L5" s="445">
        <f ca="1">tertiair!L16</f>
        <v>0</v>
      </c>
      <c r="M5" s="445">
        <f>tertiair!M16</f>
        <v>0</v>
      </c>
      <c r="N5" s="445">
        <f ca="1">tertiair!N16</f>
        <v>3027.1734446889018</v>
      </c>
      <c r="O5" s="445">
        <f>tertiair!O16</f>
        <v>7.8166666666666664</v>
      </c>
      <c r="P5" s="446">
        <f>tertiair!P16</f>
        <v>19.066666666666666</v>
      </c>
      <c r="Q5" s="444">
        <f t="shared" ref="Q5:Q14" ca="1" si="0">SUM(B5:P5)</f>
        <v>87573.496100604054</v>
      </c>
    </row>
    <row r="6" spans="1:17">
      <c r="A6" s="444" t="s">
        <v>193</v>
      </c>
      <c r="B6" s="445">
        <f>'openbare verlichting'!B8</f>
        <v>1041.7080000000001</v>
      </c>
      <c r="C6" s="445"/>
      <c r="D6" s="445"/>
      <c r="E6" s="445"/>
      <c r="F6" s="445"/>
      <c r="G6" s="445"/>
      <c r="H6" s="445"/>
      <c r="I6" s="445"/>
      <c r="J6" s="445"/>
      <c r="K6" s="445"/>
      <c r="L6" s="445"/>
      <c r="M6" s="445"/>
      <c r="N6" s="445"/>
      <c r="O6" s="445"/>
      <c r="P6" s="446"/>
      <c r="Q6" s="444">
        <f t="shared" si="0"/>
        <v>1041.7080000000001</v>
      </c>
    </row>
    <row r="7" spans="1:17">
      <c r="A7" s="444" t="s">
        <v>111</v>
      </c>
      <c r="B7" s="445">
        <f>landbouw!B8</f>
        <v>1202.5814994980203</v>
      </c>
      <c r="C7" s="445">
        <f>landbouw!C8</f>
        <v>0</v>
      </c>
      <c r="D7" s="445">
        <f>landbouw!D8</f>
        <v>159.20014068686174</v>
      </c>
      <c r="E7" s="445">
        <f>landbouw!E8</f>
        <v>35.347543378101889</v>
      </c>
      <c r="F7" s="445">
        <f>landbouw!F8</f>
        <v>5009.8895428153828</v>
      </c>
      <c r="G7" s="445">
        <f>landbouw!G8</f>
        <v>0</v>
      </c>
      <c r="H7" s="445">
        <f>landbouw!H8</f>
        <v>0</v>
      </c>
      <c r="I7" s="445">
        <f>landbouw!I8</f>
        <v>0</v>
      </c>
      <c r="J7" s="445">
        <f>landbouw!J8</f>
        <v>174.22823354393716</v>
      </c>
      <c r="K7" s="445">
        <f>landbouw!K8</f>
        <v>0</v>
      </c>
      <c r="L7" s="445">
        <f>landbouw!L8</f>
        <v>0</v>
      </c>
      <c r="M7" s="445">
        <f>landbouw!M8</f>
        <v>0</v>
      </c>
      <c r="N7" s="445">
        <f>landbouw!N8</f>
        <v>0</v>
      </c>
      <c r="O7" s="445">
        <f>landbouw!O8</f>
        <v>0</v>
      </c>
      <c r="P7" s="446">
        <f>landbouw!P8</f>
        <v>0</v>
      </c>
      <c r="Q7" s="444">
        <f t="shared" si="0"/>
        <v>6581.2469599223032</v>
      </c>
    </row>
    <row r="8" spans="1:17">
      <c r="A8" s="444" t="s">
        <v>627</v>
      </c>
      <c r="B8" s="445">
        <f>industrie!B18</f>
        <v>5639.2965509758087</v>
      </c>
      <c r="C8" s="445">
        <f>industrie!C18</f>
        <v>0</v>
      </c>
      <c r="D8" s="445">
        <f>industrie!D18</f>
        <v>4414.8197841974434</v>
      </c>
      <c r="E8" s="445">
        <f>industrie!E18</f>
        <v>789.91148841824645</v>
      </c>
      <c r="F8" s="445">
        <f>industrie!F18</f>
        <v>2342.6032435139859</v>
      </c>
      <c r="G8" s="445">
        <f>industrie!G18</f>
        <v>0</v>
      </c>
      <c r="H8" s="445">
        <f>industrie!H18</f>
        <v>0</v>
      </c>
      <c r="I8" s="445">
        <f>industrie!I18</f>
        <v>0</v>
      </c>
      <c r="J8" s="445">
        <f>industrie!J18</f>
        <v>9.438787216482071</v>
      </c>
      <c r="K8" s="445">
        <f>industrie!K18</f>
        <v>0</v>
      </c>
      <c r="L8" s="445">
        <f>industrie!L18</f>
        <v>0</v>
      </c>
      <c r="M8" s="445">
        <f>industrie!M18</f>
        <v>0</v>
      </c>
      <c r="N8" s="445">
        <f>industrie!N18</f>
        <v>400.91564433815461</v>
      </c>
      <c r="O8" s="445">
        <f>industrie!O18</f>
        <v>0</v>
      </c>
      <c r="P8" s="446">
        <f>industrie!P18</f>
        <v>0</v>
      </c>
      <c r="Q8" s="444">
        <f t="shared" si="0"/>
        <v>13596.985498660122</v>
      </c>
    </row>
    <row r="9" spans="1:17" s="450" customFormat="1">
      <c r="A9" s="448" t="s">
        <v>553</v>
      </c>
      <c r="B9" s="449">
        <f>transport!B14</f>
        <v>63.165301100022965</v>
      </c>
      <c r="C9" s="449">
        <f>transport!C14</f>
        <v>0</v>
      </c>
      <c r="D9" s="449">
        <f>transport!D14</f>
        <v>94.267755282898605</v>
      </c>
      <c r="E9" s="449">
        <f>transport!E14</f>
        <v>182.35796504518839</v>
      </c>
      <c r="F9" s="449">
        <f>transport!F14</f>
        <v>0</v>
      </c>
      <c r="G9" s="449">
        <f>transport!G14</f>
        <v>108104.80022319054</v>
      </c>
      <c r="H9" s="449">
        <f>transport!H14</f>
        <v>15519.784583372408</v>
      </c>
      <c r="I9" s="449">
        <f>transport!I14</f>
        <v>0</v>
      </c>
      <c r="J9" s="449">
        <f>transport!J14</f>
        <v>0</v>
      </c>
      <c r="K9" s="449">
        <f>transport!K14</f>
        <v>0</v>
      </c>
      <c r="L9" s="449">
        <f>transport!L14</f>
        <v>0</v>
      </c>
      <c r="M9" s="449">
        <f>transport!M14</f>
        <v>6772.9639742341724</v>
      </c>
      <c r="N9" s="449">
        <f>transport!N14</f>
        <v>0</v>
      </c>
      <c r="O9" s="449">
        <f>transport!O14</f>
        <v>0</v>
      </c>
      <c r="P9" s="449">
        <f>transport!P14</f>
        <v>0</v>
      </c>
      <c r="Q9" s="448">
        <f>SUM(B9:P9)</f>
        <v>130737.33980222524</v>
      </c>
    </row>
    <row r="10" spans="1:17">
      <c r="A10" s="444" t="s">
        <v>543</v>
      </c>
      <c r="B10" s="445">
        <f>transport!B54</f>
        <v>833.4770764929325</v>
      </c>
      <c r="C10" s="445">
        <f>transport!C54</f>
        <v>0</v>
      </c>
      <c r="D10" s="445">
        <f>transport!D54</f>
        <v>0</v>
      </c>
      <c r="E10" s="445">
        <f>transport!E54</f>
        <v>0</v>
      </c>
      <c r="F10" s="445">
        <f>transport!F54</f>
        <v>0</v>
      </c>
      <c r="G10" s="445">
        <f>transport!G54</f>
        <v>636.5803554071648</v>
      </c>
      <c r="H10" s="445">
        <f>transport!H54</f>
        <v>0</v>
      </c>
      <c r="I10" s="445">
        <f>transport!I54</f>
        <v>0</v>
      </c>
      <c r="J10" s="445">
        <f>transport!J54</f>
        <v>0</v>
      </c>
      <c r="K10" s="445">
        <f>transport!K54</f>
        <v>0</v>
      </c>
      <c r="L10" s="445">
        <f>transport!L54</f>
        <v>0</v>
      </c>
      <c r="M10" s="445">
        <f>transport!M54</f>
        <v>36.658751325179686</v>
      </c>
      <c r="N10" s="445">
        <f>transport!N54</f>
        <v>0</v>
      </c>
      <c r="O10" s="445">
        <f>transport!O54</f>
        <v>0</v>
      </c>
      <c r="P10" s="446">
        <f>transport!P54</f>
        <v>0</v>
      </c>
      <c r="Q10" s="444">
        <f t="shared" si="0"/>
        <v>1506.7161832252771</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10288.164999943901</v>
      </c>
      <c r="C14" s="452"/>
      <c r="D14" s="452">
        <f>'SEAP template'!E25</f>
        <v>9133.7646395192114</v>
      </c>
      <c r="E14" s="452"/>
      <c r="F14" s="452"/>
      <c r="G14" s="452"/>
      <c r="H14" s="452"/>
      <c r="I14" s="452"/>
      <c r="J14" s="452"/>
      <c r="K14" s="452"/>
      <c r="L14" s="452"/>
      <c r="M14" s="452"/>
      <c r="N14" s="452"/>
      <c r="O14" s="452"/>
      <c r="P14" s="453"/>
      <c r="Q14" s="444">
        <f t="shared" si="0"/>
        <v>19421.929639463113</v>
      </c>
    </row>
    <row r="15" spans="1:17" s="454" customFormat="1">
      <c r="A15" s="999" t="s">
        <v>547</v>
      </c>
      <c r="B15" s="947">
        <f ca="1">SUM(B4:B14)</f>
        <v>82102.26402733849</v>
      </c>
      <c r="C15" s="947">
        <f t="shared" ref="C15:Q15" ca="1" si="1">SUM(C4:C14)</f>
        <v>0</v>
      </c>
      <c r="D15" s="947">
        <f t="shared" ca="1" si="1"/>
        <v>102824.15963445528</v>
      </c>
      <c r="E15" s="947">
        <f t="shared" si="1"/>
        <v>2428.3231587186942</v>
      </c>
      <c r="F15" s="947">
        <f t="shared" ca="1" si="1"/>
        <v>36856.537388091812</v>
      </c>
      <c r="G15" s="947">
        <f t="shared" si="1"/>
        <v>108741.3805785977</v>
      </c>
      <c r="H15" s="947">
        <f t="shared" si="1"/>
        <v>15519.784583372408</v>
      </c>
      <c r="I15" s="947">
        <f t="shared" si="1"/>
        <v>0</v>
      </c>
      <c r="J15" s="947">
        <f t="shared" si="1"/>
        <v>296.48965566480422</v>
      </c>
      <c r="K15" s="947">
        <f t="shared" si="1"/>
        <v>0</v>
      </c>
      <c r="L15" s="947">
        <f t="shared" ca="1" si="1"/>
        <v>0</v>
      </c>
      <c r="M15" s="947">
        <f t="shared" si="1"/>
        <v>6809.6227255593521</v>
      </c>
      <c r="N15" s="947">
        <f t="shared" ca="1" si="1"/>
        <v>11673.581579196562</v>
      </c>
      <c r="O15" s="947">
        <f t="shared" si="1"/>
        <v>128.19333333333336</v>
      </c>
      <c r="P15" s="947">
        <f t="shared" si="1"/>
        <v>1086.8</v>
      </c>
      <c r="Q15" s="947">
        <f t="shared" ca="1" si="1"/>
        <v>368467.13666432851</v>
      </c>
    </row>
    <row r="17" spans="1:17">
      <c r="A17" s="455" t="s">
        <v>548</v>
      </c>
      <c r="B17" s="754">
        <f ca="1">huishoudens!B10</f>
        <v>0.21650426229248726</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5861.7639597658717</v>
      </c>
      <c r="C22" s="445">
        <f t="shared" ref="C22:C32" ca="1" si="3">C4*$C$17</f>
        <v>0</v>
      </c>
      <c r="D22" s="445">
        <f t="shared" ref="D22:D32" si="4">D4*$D$17</f>
        <v>9500.2734768045229</v>
      </c>
      <c r="E22" s="445">
        <f t="shared" ref="E22:E32" si="5">E4*$E$17</f>
        <v>209.93505252810647</v>
      </c>
      <c r="F22" s="445">
        <f t="shared" ref="F22:F32" si="6">F4*$F$17</f>
        <v>6256.0489981628043</v>
      </c>
      <c r="G22" s="445">
        <f t="shared" ref="G22:G32" si="7">G4*$G$17</f>
        <v>0</v>
      </c>
      <c r="H22" s="445">
        <f t="shared" ref="H22:H32" si="8">H4*$H$17</f>
        <v>0</v>
      </c>
      <c r="I22" s="445">
        <f t="shared" ref="I22:I32" si="9">I4*$I$17</f>
        <v>0</v>
      </c>
      <c r="J22" s="445">
        <f t="shared" ref="J22:J32" si="10">J4*$J$17</f>
        <v>39.912380863470482</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21867.933868124775</v>
      </c>
    </row>
    <row r="23" spans="1:17">
      <c r="A23" s="444" t="s">
        <v>155</v>
      </c>
      <c r="B23" s="445">
        <f t="shared" ca="1" si="2"/>
        <v>7785.337693781702</v>
      </c>
      <c r="C23" s="445">
        <f t="shared" ca="1" si="3"/>
        <v>0</v>
      </c>
      <c r="D23" s="445">
        <f t="shared" ca="1" si="4"/>
        <v>8482.1922007787853</v>
      </c>
      <c r="E23" s="445">
        <f t="shared" si="5"/>
        <v>112.5652462180083</v>
      </c>
      <c r="F23" s="445">
        <f t="shared" ca="1" si="6"/>
        <v>1621.5309105077692</v>
      </c>
      <c r="G23" s="445">
        <f t="shared" si="7"/>
        <v>0</v>
      </c>
      <c r="H23" s="445">
        <f t="shared" si="8"/>
        <v>0</v>
      </c>
      <c r="I23" s="445">
        <f t="shared" si="9"/>
        <v>0</v>
      </c>
      <c r="J23" s="445">
        <f t="shared" si="10"/>
        <v>2.6831892681807329E-2</v>
      </c>
      <c r="K23" s="445">
        <f t="shared" si="11"/>
        <v>0</v>
      </c>
      <c r="L23" s="445">
        <f t="shared" ca="1" si="12"/>
        <v>0</v>
      </c>
      <c r="M23" s="445">
        <f t="shared" si="13"/>
        <v>0</v>
      </c>
      <c r="N23" s="445">
        <f t="shared" ca="1" si="14"/>
        <v>0</v>
      </c>
      <c r="O23" s="445">
        <f t="shared" si="15"/>
        <v>0</v>
      </c>
      <c r="P23" s="446">
        <f t="shared" si="16"/>
        <v>0</v>
      </c>
      <c r="Q23" s="444">
        <f t="shared" ref="Q23:Q32" ca="1" si="17">SUM(B23:P23)</f>
        <v>18001.652883178947</v>
      </c>
    </row>
    <row r="24" spans="1:17">
      <c r="A24" s="444" t="s">
        <v>193</v>
      </c>
      <c r="B24" s="445">
        <f t="shared" ca="1" si="2"/>
        <v>225.53422206418233</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225.53422206418233</v>
      </c>
    </row>
    <row r="25" spans="1:17">
      <c r="A25" s="444" t="s">
        <v>111</v>
      </c>
      <c r="B25" s="445">
        <f t="shared" ca="1" si="2"/>
        <v>260.36402039541201</v>
      </c>
      <c r="C25" s="445">
        <f t="shared" ca="1" si="3"/>
        <v>0</v>
      </c>
      <c r="D25" s="445">
        <f t="shared" si="4"/>
        <v>32.158428418746077</v>
      </c>
      <c r="E25" s="445">
        <f t="shared" si="5"/>
        <v>8.023892346829129</v>
      </c>
      <c r="F25" s="445">
        <f t="shared" si="6"/>
        <v>1337.6405079317074</v>
      </c>
      <c r="G25" s="445">
        <f t="shared" si="7"/>
        <v>0</v>
      </c>
      <c r="H25" s="445">
        <f t="shared" si="8"/>
        <v>0</v>
      </c>
      <c r="I25" s="445">
        <f t="shared" si="9"/>
        <v>0</v>
      </c>
      <c r="J25" s="445">
        <f t="shared" si="10"/>
        <v>61.676794674553754</v>
      </c>
      <c r="K25" s="445">
        <f t="shared" si="11"/>
        <v>0</v>
      </c>
      <c r="L25" s="445">
        <f t="shared" si="12"/>
        <v>0</v>
      </c>
      <c r="M25" s="445">
        <f t="shared" si="13"/>
        <v>0</v>
      </c>
      <c r="N25" s="445">
        <f t="shared" si="14"/>
        <v>0</v>
      </c>
      <c r="O25" s="445">
        <f t="shared" si="15"/>
        <v>0</v>
      </c>
      <c r="P25" s="446">
        <f t="shared" si="16"/>
        <v>0</v>
      </c>
      <c r="Q25" s="444">
        <f t="shared" ca="1" si="17"/>
        <v>1699.8636437672483</v>
      </c>
    </row>
    <row r="26" spans="1:17">
      <c r="A26" s="444" t="s">
        <v>627</v>
      </c>
      <c r="B26" s="445">
        <f t="shared" ca="1" si="2"/>
        <v>1220.9317396175852</v>
      </c>
      <c r="C26" s="445">
        <f t="shared" ca="1" si="3"/>
        <v>0</v>
      </c>
      <c r="D26" s="445">
        <f t="shared" si="4"/>
        <v>891.79359640788357</v>
      </c>
      <c r="E26" s="445">
        <f t="shared" si="5"/>
        <v>179.30990787094194</v>
      </c>
      <c r="F26" s="445">
        <f t="shared" si="6"/>
        <v>625.47506601823432</v>
      </c>
      <c r="G26" s="445">
        <f t="shared" si="7"/>
        <v>0</v>
      </c>
      <c r="H26" s="445">
        <f t="shared" si="8"/>
        <v>0</v>
      </c>
      <c r="I26" s="445">
        <f t="shared" si="9"/>
        <v>0</v>
      </c>
      <c r="J26" s="445">
        <f t="shared" si="10"/>
        <v>3.3413306746346532</v>
      </c>
      <c r="K26" s="445">
        <f t="shared" si="11"/>
        <v>0</v>
      </c>
      <c r="L26" s="445">
        <f t="shared" si="12"/>
        <v>0</v>
      </c>
      <c r="M26" s="445">
        <f t="shared" si="13"/>
        <v>0</v>
      </c>
      <c r="N26" s="445">
        <f t="shared" si="14"/>
        <v>0</v>
      </c>
      <c r="O26" s="445">
        <f t="shared" si="15"/>
        <v>0</v>
      </c>
      <c r="P26" s="446">
        <f t="shared" si="16"/>
        <v>0</v>
      </c>
      <c r="Q26" s="444">
        <f t="shared" ca="1" si="17"/>
        <v>2920.8516405892801</v>
      </c>
    </row>
    <row r="27" spans="1:17" s="450" customFormat="1">
      <c r="A27" s="448" t="s">
        <v>553</v>
      </c>
      <c r="B27" s="748">
        <f t="shared" ca="1" si="2"/>
        <v>13.675556917143306</v>
      </c>
      <c r="C27" s="449">
        <f t="shared" ca="1" si="3"/>
        <v>0</v>
      </c>
      <c r="D27" s="449">
        <f t="shared" si="4"/>
        <v>19.042086567145521</v>
      </c>
      <c r="E27" s="449">
        <f t="shared" si="5"/>
        <v>41.395258065257764</v>
      </c>
      <c r="F27" s="449">
        <f t="shared" si="6"/>
        <v>0</v>
      </c>
      <c r="G27" s="449">
        <f t="shared" si="7"/>
        <v>28863.981659591875</v>
      </c>
      <c r="H27" s="449">
        <f t="shared" si="8"/>
        <v>3864.4263612597297</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32802.520922401149</v>
      </c>
    </row>
    <row r="28" spans="1:17">
      <c r="A28" s="444" t="s">
        <v>543</v>
      </c>
      <c r="B28" s="445">
        <f t="shared" ca="1" si="2"/>
        <v>180.45133958380131</v>
      </c>
      <c r="C28" s="445">
        <f t="shared" ca="1" si="3"/>
        <v>0</v>
      </c>
      <c r="D28" s="445">
        <f t="shared" si="4"/>
        <v>0</v>
      </c>
      <c r="E28" s="445">
        <f t="shared" si="5"/>
        <v>0</v>
      </c>
      <c r="F28" s="445">
        <f t="shared" si="6"/>
        <v>0</v>
      </c>
      <c r="G28" s="445">
        <f t="shared" si="7"/>
        <v>169.96695489371302</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350.41829447751434</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2227.4315736562417</v>
      </c>
      <c r="C32" s="445">
        <f t="shared" ca="1" si="3"/>
        <v>0</v>
      </c>
      <c r="D32" s="445">
        <f t="shared" si="4"/>
        <v>1845.0204571828808</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4072.4520308391225</v>
      </c>
    </row>
    <row r="33" spans="1:17" s="454" customFormat="1">
      <c r="A33" s="999" t="s">
        <v>547</v>
      </c>
      <c r="B33" s="947">
        <f ca="1">SUM(B22:B32)</f>
        <v>17775.490105781941</v>
      </c>
      <c r="C33" s="947">
        <f t="shared" ref="C33:Q33" ca="1" si="18">SUM(C22:C32)</f>
        <v>0</v>
      </c>
      <c r="D33" s="947">
        <f t="shared" ca="1" si="18"/>
        <v>20770.480246159957</v>
      </c>
      <c r="E33" s="947">
        <f t="shared" si="18"/>
        <v>551.22935702914356</v>
      </c>
      <c r="F33" s="947">
        <f t="shared" ca="1" si="18"/>
        <v>9840.6954826205165</v>
      </c>
      <c r="G33" s="947">
        <f t="shared" si="18"/>
        <v>29033.948614485587</v>
      </c>
      <c r="H33" s="947">
        <f t="shared" si="18"/>
        <v>3864.4263612597297</v>
      </c>
      <c r="I33" s="947">
        <f t="shared" si="18"/>
        <v>0</v>
      </c>
      <c r="J33" s="947">
        <f t="shared" si="18"/>
        <v>104.9573381053407</v>
      </c>
      <c r="K33" s="947">
        <f t="shared" si="18"/>
        <v>0</v>
      </c>
      <c r="L33" s="947">
        <f t="shared" ca="1" si="18"/>
        <v>0</v>
      </c>
      <c r="M33" s="947">
        <f t="shared" si="18"/>
        <v>0</v>
      </c>
      <c r="N33" s="947">
        <f t="shared" ca="1" si="18"/>
        <v>0</v>
      </c>
      <c r="O33" s="947">
        <f t="shared" si="18"/>
        <v>0</v>
      </c>
      <c r="P33" s="947">
        <f t="shared" si="18"/>
        <v>0</v>
      </c>
      <c r="Q33" s="947">
        <f t="shared" ca="1" si="18"/>
        <v>81941.227505442206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1670.1821007234023</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1670.1821007234023</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0.21650426229248726</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0.21650426229248726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0.21650426229248726</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0.21650426229248726</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5863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1934.82</v>
      </c>
      <c r="C14" s="324"/>
      <c r="D14" s="324"/>
      <c r="E14" s="324"/>
      <c r="F14" s="324"/>
    </row>
    <row r="15" spans="1:6">
      <c r="A15" s="1291" t="s">
        <v>183</v>
      </c>
      <c r="B15" s="1292">
        <v>19</v>
      </c>
      <c r="C15" s="324"/>
      <c r="D15" s="324"/>
      <c r="E15" s="324"/>
      <c r="F15" s="324"/>
    </row>
    <row r="16" spans="1:6">
      <c r="A16" s="1291" t="s">
        <v>6</v>
      </c>
      <c r="B16" s="1292">
        <v>827</v>
      </c>
      <c r="C16" s="324"/>
      <c r="D16" s="324"/>
      <c r="E16" s="324"/>
      <c r="F16" s="324"/>
    </row>
    <row r="17" spans="1:6">
      <c r="A17" s="1291" t="s">
        <v>7</v>
      </c>
      <c r="B17" s="1292">
        <v>553</v>
      </c>
      <c r="C17" s="324"/>
      <c r="D17" s="324"/>
      <c r="E17" s="324"/>
      <c r="F17" s="324"/>
    </row>
    <row r="18" spans="1:6">
      <c r="A18" s="1291" t="s">
        <v>8</v>
      </c>
      <c r="B18" s="1292">
        <v>912</v>
      </c>
      <c r="C18" s="324"/>
      <c r="D18" s="324"/>
      <c r="E18" s="324"/>
      <c r="F18" s="324"/>
    </row>
    <row r="19" spans="1:6">
      <c r="A19" s="1291" t="s">
        <v>9</v>
      </c>
      <c r="B19" s="1292">
        <v>1458</v>
      </c>
      <c r="C19" s="324"/>
      <c r="D19" s="324"/>
      <c r="E19" s="324"/>
      <c r="F19" s="324"/>
    </row>
    <row r="20" spans="1:6">
      <c r="A20" s="1291" t="s">
        <v>10</v>
      </c>
      <c r="B20" s="1292">
        <v>367</v>
      </c>
      <c r="C20" s="324"/>
      <c r="D20" s="324"/>
      <c r="E20" s="324"/>
      <c r="F20" s="324"/>
    </row>
    <row r="21" spans="1:6">
      <c r="A21" s="1291" t="s">
        <v>11</v>
      </c>
      <c r="B21" s="1292">
        <v>3092</v>
      </c>
      <c r="C21" s="324"/>
      <c r="D21" s="324"/>
      <c r="E21" s="324"/>
      <c r="F21" s="324"/>
    </row>
    <row r="22" spans="1:6">
      <c r="A22" s="1291" t="s">
        <v>12</v>
      </c>
      <c r="B22" s="1292">
        <v>8942</v>
      </c>
      <c r="C22" s="324"/>
      <c r="D22" s="324"/>
      <c r="E22" s="324"/>
      <c r="F22" s="324"/>
    </row>
    <row r="23" spans="1:6">
      <c r="A23" s="1291" t="s">
        <v>13</v>
      </c>
      <c r="B23" s="1292">
        <v>105</v>
      </c>
      <c r="C23" s="324"/>
      <c r="D23" s="324"/>
      <c r="E23" s="324"/>
      <c r="F23" s="324"/>
    </row>
    <row r="24" spans="1:6">
      <c r="A24" s="1291" t="s">
        <v>14</v>
      </c>
      <c r="B24" s="1292">
        <v>5</v>
      </c>
      <c r="C24" s="324"/>
      <c r="D24" s="324"/>
      <c r="E24" s="324"/>
      <c r="F24" s="324"/>
    </row>
    <row r="25" spans="1:6">
      <c r="A25" s="1291" t="s">
        <v>15</v>
      </c>
      <c r="B25" s="1292">
        <v>735</v>
      </c>
      <c r="C25" s="324"/>
      <c r="D25" s="324"/>
      <c r="E25" s="324"/>
      <c r="F25" s="324"/>
    </row>
    <row r="26" spans="1:6">
      <c r="A26" s="1291" t="s">
        <v>16</v>
      </c>
      <c r="B26" s="1292">
        <v>955</v>
      </c>
      <c r="C26" s="324"/>
      <c r="D26" s="324"/>
      <c r="E26" s="324"/>
      <c r="F26" s="324"/>
    </row>
    <row r="27" spans="1:6">
      <c r="A27" s="1291" t="s">
        <v>17</v>
      </c>
      <c r="B27" s="1292">
        <v>0</v>
      </c>
      <c r="C27" s="324"/>
      <c r="D27" s="324"/>
      <c r="E27" s="324"/>
      <c r="F27" s="324"/>
    </row>
    <row r="28" spans="1:6" s="43" customFormat="1">
      <c r="A28" s="1293" t="s">
        <v>18</v>
      </c>
      <c r="B28" s="1294">
        <v>54479</v>
      </c>
      <c r="C28" s="330"/>
      <c r="D28" s="330"/>
      <c r="E28" s="330"/>
      <c r="F28" s="330"/>
    </row>
    <row r="29" spans="1:6">
      <c r="A29" s="1293" t="s">
        <v>722</v>
      </c>
      <c r="B29" s="1294">
        <v>63</v>
      </c>
      <c r="C29" s="330"/>
      <c r="D29" s="330"/>
      <c r="E29" s="330"/>
      <c r="F29" s="330"/>
    </row>
    <row r="30" spans="1:6">
      <c r="A30" s="1286" t="s">
        <v>723</v>
      </c>
      <c r="B30" s="1295">
        <v>105</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8</v>
      </c>
      <c r="F36" s="1292">
        <v>31205.416459571799</v>
      </c>
    </row>
    <row r="37" spans="1:6">
      <c r="A37" s="1291" t="s">
        <v>24</v>
      </c>
      <c r="B37" s="1291" t="s">
        <v>27</v>
      </c>
      <c r="C37" s="1292">
        <v>0</v>
      </c>
      <c r="D37" s="1292">
        <v>0</v>
      </c>
      <c r="E37" s="1292">
        <v>0</v>
      </c>
      <c r="F37" s="1292">
        <v>0</v>
      </c>
    </row>
    <row r="38" spans="1:6">
      <c r="A38" s="1291" t="s">
        <v>24</v>
      </c>
      <c r="B38" s="1291" t="s">
        <v>28</v>
      </c>
      <c r="C38" s="1292">
        <v>3</v>
      </c>
      <c r="D38" s="1292">
        <v>444812.58197167702</v>
      </c>
      <c r="E38" s="1292">
        <v>2</v>
      </c>
      <c r="F38" s="1292">
        <v>13996.6002577284</v>
      </c>
    </row>
    <row r="39" spans="1:6">
      <c r="A39" s="1291" t="s">
        <v>29</v>
      </c>
      <c r="B39" s="1291" t="s">
        <v>30</v>
      </c>
      <c r="C39" s="1292">
        <v>4439</v>
      </c>
      <c r="D39" s="1292">
        <v>52140861.214926802</v>
      </c>
      <c r="E39" s="1292">
        <v>11137</v>
      </c>
      <c r="F39" s="1292">
        <v>25802246.151521601</v>
      </c>
    </row>
    <row r="40" spans="1:6">
      <c r="A40" s="1291" t="s">
        <v>29</v>
      </c>
      <c r="B40" s="1291" t="s">
        <v>28</v>
      </c>
      <c r="C40" s="1292">
        <v>0</v>
      </c>
      <c r="D40" s="1292">
        <v>0</v>
      </c>
      <c r="E40" s="1292">
        <v>0</v>
      </c>
      <c r="F40" s="1292">
        <v>0</v>
      </c>
    </row>
    <row r="41" spans="1:6">
      <c r="A41" s="1291" t="s">
        <v>31</v>
      </c>
      <c r="B41" s="1291" t="s">
        <v>32</v>
      </c>
      <c r="C41" s="1292">
        <v>115</v>
      </c>
      <c r="D41" s="1292">
        <v>1448890.27830072</v>
      </c>
      <c r="E41" s="1292">
        <v>293</v>
      </c>
      <c r="F41" s="1292">
        <v>2193013.8259790302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5</v>
      </c>
      <c r="D44" s="1292">
        <v>254575.74010459299</v>
      </c>
      <c r="E44" s="1292">
        <v>17</v>
      </c>
      <c r="F44" s="1292">
        <v>220163.97844902301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34</v>
      </c>
      <c r="D48" s="1292">
        <v>2013217.1792345101</v>
      </c>
      <c r="E48" s="1292">
        <v>44</v>
      </c>
      <c r="F48" s="1292">
        <v>2636546.7463892698</v>
      </c>
    </row>
    <row r="49" spans="1:6">
      <c r="A49" s="1291" t="s">
        <v>31</v>
      </c>
      <c r="B49" s="1291" t="s">
        <v>39</v>
      </c>
      <c r="C49" s="1292">
        <v>0</v>
      </c>
      <c r="D49" s="1292">
        <v>0</v>
      </c>
      <c r="E49" s="1292">
        <v>0</v>
      </c>
      <c r="F49" s="1292">
        <v>0</v>
      </c>
    </row>
    <row r="50" spans="1:6">
      <c r="A50" s="1291" t="s">
        <v>31</v>
      </c>
      <c r="B50" s="1291" t="s">
        <v>40</v>
      </c>
      <c r="C50" s="1292">
        <v>8</v>
      </c>
      <c r="D50" s="1292">
        <v>1177795.4988096701</v>
      </c>
      <c r="E50" s="1292">
        <v>21</v>
      </c>
      <c r="F50" s="1292">
        <v>589572.00015848596</v>
      </c>
    </row>
    <row r="51" spans="1:6">
      <c r="A51" s="1291" t="s">
        <v>41</v>
      </c>
      <c r="B51" s="1291" t="s">
        <v>42</v>
      </c>
      <c r="C51" s="1292">
        <v>3</v>
      </c>
      <c r="D51" s="1292">
        <v>35134.348884897197</v>
      </c>
      <c r="E51" s="1292">
        <v>78</v>
      </c>
      <c r="F51" s="1292">
        <v>1168958.2124821399</v>
      </c>
    </row>
    <row r="52" spans="1:6">
      <c r="A52" s="1291" t="s">
        <v>41</v>
      </c>
      <c r="B52" s="1291" t="s">
        <v>28</v>
      </c>
      <c r="C52" s="1292">
        <v>4</v>
      </c>
      <c r="D52" s="1292">
        <v>141362.481144883</v>
      </c>
      <c r="E52" s="1292">
        <v>5</v>
      </c>
      <c r="F52" s="1292">
        <v>33623.287015880502</v>
      </c>
    </row>
    <row r="53" spans="1:6">
      <c r="A53" s="1291" t="s">
        <v>43</v>
      </c>
      <c r="B53" s="1291" t="s">
        <v>44</v>
      </c>
      <c r="C53" s="1292">
        <v>750</v>
      </c>
      <c r="D53" s="1292">
        <v>9133764.6395192109</v>
      </c>
      <c r="E53" s="1292">
        <v>3077</v>
      </c>
      <c r="F53" s="1292">
        <v>10288164.999943901</v>
      </c>
    </row>
    <row r="54" spans="1:6">
      <c r="A54" s="1291" t="s">
        <v>45</v>
      </c>
      <c r="B54" s="1291" t="s">
        <v>46</v>
      </c>
      <c r="C54" s="1292">
        <v>0</v>
      </c>
      <c r="D54" s="1292">
        <v>0</v>
      </c>
      <c r="E54" s="1292">
        <v>1</v>
      </c>
      <c r="F54" s="1292">
        <v>1041708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45</v>
      </c>
      <c r="D57" s="1292">
        <v>4239058.9069057703</v>
      </c>
      <c r="E57" s="1292">
        <v>100</v>
      </c>
      <c r="F57" s="1292">
        <v>3101033.0791283501</v>
      </c>
    </row>
    <row r="58" spans="1:6">
      <c r="A58" s="1291" t="s">
        <v>48</v>
      </c>
      <c r="B58" s="1291" t="s">
        <v>50</v>
      </c>
      <c r="C58" s="1292">
        <v>26</v>
      </c>
      <c r="D58" s="1292">
        <v>407576.41368526203</v>
      </c>
      <c r="E58" s="1292">
        <v>66</v>
      </c>
      <c r="F58" s="1292">
        <v>1830236.7272503399</v>
      </c>
    </row>
    <row r="59" spans="1:6">
      <c r="A59" s="1291" t="s">
        <v>48</v>
      </c>
      <c r="B59" s="1291" t="s">
        <v>51</v>
      </c>
      <c r="C59" s="1292">
        <v>178</v>
      </c>
      <c r="D59" s="1292">
        <v>5747052.2967553902</v>
      </c>
      <c r="E59" s="1292">
        <v>569</v>
      </c>
      <c r="F59" s="1292">
        <v>9557909.4824968409</v>
      </c>
    </row>
    <row r="60" spans="1:6">
      <c r="A60" s="1291" t="s">
        <v>48</v>
      </c>
      <c r="B60" s="1291" t="s">
        <v>52</v>
      </c>
      <c r="C60" s="1292">
        <v>152</v>
      </c>
      <c r="D60" s="1292">
        <v>12362401.6193597</v>
      </c>
      <c r="E60" s="1292">
        <v>219</v>
      </c>
      <c r="F60" s="1292">
        <v>6871876.2924060998</v>
      </c>
    </row>
    <row r="61" spans="1:6">
      <c r="A61" s="1291" t="s">
        <v>48</v>
      </c>
      <c r="B61" s="1291" t="s">
        <v>53</v>
      </c>
      <c r="C61" s="1292">
        <v>282</v>
      </c>
      <c r="D61" s="1292">
        <v>11391844.307942901</v>
      </c>
      <c r="E61" s="1292">
        <v>1436</v>
      </c>
      <c r="F61" s="1292">
        <v>10867415.939052099</v>
      </c>
    </row>
    <row r="62" spans="1:6">
      <c r="A62" s="1291" t="s">
        <v>48</v>
      </c>
      <c r="B62" s="1291" t="s">
        <v>54</v>
      </c>
      <c r="C62" s="1292">
        <v>3</v>
      </c>
      <c r="D62" s="1292">
        <v>168768.35724203201</v>
      </c>
      <c r="E62" s="1292">
        <v>10</v>
      </c>
      <c r="F62" s="1292">
        <v>226805.69674189799</v>
      </c>
    </row>
    <row r="63" spans="1:6">
      <c r="A63" s="1291" t="s">
        <v>48</v>
      </c>
      <c r="B63" s="1291" t="s">
        <v>28</v>
      </c>
      <c r="C63" s="1292">
        <v>92</v>
      </c>
      <c r="D63" s="1292">
        <v>12236569.161196399</v>
      </c>
      <c r="E63" s="1292">
        <v>107</v>
      </c>
      <c r="F63" s="1292">
        <v>3504004.19080756</v>
      </c>
    </row>
    <row r="64" spans="1:6">
      <c r="A64" s="1291" t="s">
        <v>55</v>
      </c>
      <c r="B64" s="1291" t="s">
        <v>56</v>
      </c>
      <c r="C64" s="1292">
        <v>0</v>
      </c>
      <c r="D64" s="1292">
        <v>0</v>
      </c>
      <c r="E64" s="1292">
        <v>0</v>
      </c>
      <c r="F64" s="1292">
        <v>0</v>
      </c>
    </row>
    <row r="65" spans="1:6">
      <c r="A65" s="1291" t="s">
        <v>55</v>
      </c>
      <c r="B65" s="1291" t="s">
        <v>28</v>
      </c>
      <c r="C65" s="1292">
        <v>4</v>
      </c>
      <c r="D65" s="1292">
        <v>79179.319231712099</v>
      </c>
      <c r="E65" s="1292">
        <v>3</v>
      </c>
      <c r="F65" s="1292">
        <v>3877.1256981675001</v>
      </c>
    </row>
    <row r="66" spans="1:6">
      <c r="A66" s="1291" t="s">
        <v>55</v>
      </c>
      <c r="B66" s="1291" t="s">
        <v>57</v>
      </c>
      <c r="C66" s="1292">
        <v>0</v>
      </c>
      <c r="D66" s="1292">
        <v>0</v>
      </c>
      <c r="E66" s="1292">
        <v>22</v>
      </c>
      <c r="F66" s="1292">
        <v>568149.01981825102</v>
      </c>
    </row>
    <row r="67" spans="1:6">
      <c r="A67" s="1293" t="s">
        <v>55</v>
      </c>
      <c r="B67" s="1293" t="s">
        <v>58</v>
      </c>
      <c r="C67" s="1292">
        <v>0</v>
      </c>
      <c r="D67" s="1292">
        <v>0</v>
      </c>
      <c r="E67" s="1292">
        <v>0</v>
      </c>
      <c r="F67" s="1292">
        <v>0</v>
      </c>
    </row>
    <row r="68" spans="1:6">
      <c r="A68" s="1286" t="s">
        <v>55</v>
      </c>
      <c r="B68" s="1286" t="s">
        <v>59</v>
      </c>
      <c r="C68" s="1295">
        <v>0</v>
      </c>
      <c r="D68" s="1295">
        <v>0</v>
      </c>
      <c r="E68" s="1295">
        <v>12</v>
      </c>
      <c r="F68" s="1295">
        <v>1779114.6523710201</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52185899</v>
      </c>
      <c r="E73" s="443"/>
      <c r="F73" s="324"/>
    </row>
    <row r="74" spans="1:6">
      <c r="A74" s="1291" t="s">
        <v>63</v>
      </c>
      <c r="B74" s="1291" t="s">
        <v>648</v>
      </c>
      <c r="C74" s="1305" t="s">
        <v>650</v>
      </c>
      <c r="D74" s="1306">
        <v>5832859.5</v>
      </c>
      <c r="E74" s="443"/>
      <c r="F74" s="324"/>
    </row>
    <row r="75" spans="1:6">
      <c r="A75" s="1291" t="s">
        <v>64</v>
      </c>
      <c r="B75" s="1291" t="s">
        <v>647</v>
      </c>
      <c r="C75" s="1305" t="s">
        <v>651</v>
      </c>
      <c r="D75" s="1306">
        <v>5003015</v>
      </c>
      <c r="E75" s="443"/>
      <c r="F75" s="324"/>
    </row>
    <row r="76" spans="1:6">
      <c r="A76" s="1291" t="s">
        <v>64</v>
      </c>
      <c r="B76" s="1291" t="s">
        <v>648</v>
      </c>
      <c r="C76" s="1305" t="s">
        <v>652</v>
      </c>
      <c r="D76" s="1306">
        <v>156481.5</v>
      </c>
      <c r="E76" s="443"/>
      <c r="F76" s="324"/>
    </row>
    <row r="77" spans="1:6">
      <c r="A77" s="1291" t="s">
        <v>65</v>
      </c>
      <c r="B77" s="1291" t="s">
        <v>647</v>
      </c>
      <c r="C77" s="1305" t="s">
        <v>653</v>
      </c>
      <c r="D77" s="1306">
        <v>54322630</v>
      </c>
      <c r="E77" s="443"/>
      <c r="F77" s="324"/>
    </row>
    <row r="78" spans="1:6">
      <c r="A78" s="1286" t="s">
        <v>65</v>
      </c>
      <c r="B78" s="1286" t="s">
        <v>648</v>
      </c>
      <c r="C78" s="1286" t="s">
        <v>654</v>
      </c>
      <c r="D78" s="1307">
        <v>16454902</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184955</v>
      </c>
      <c r="C83" s="443"/>
      <c r="D83" s="324"/>
      <c r="E83" s="324"/>
      <c r="F83" s="324"/>
    </row>
    <row r="84" spans="1:6">
      <c r="A84" s="1286" t="s">
        <v>329</v>
      </c>
      <c r="B84" s="1307">
        <v>234525</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1272.3430399230413</v>
      </c>
      <c r="C91" s="324"/>
      <c r="D91" s="324"/>
      <c r="E91" s="324"/>
      <c r="F91" s="324"/>
    </row>
    <row r="92" spans="1:6">
      <c r="A92" s="1286" t="s">
        <v>68</v>
      </c>
      <c r="B92" s="1287">
        <v>397.83906080036098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2669</v>
      </c>
      <c r="C97" s="324"/>
      <c r="D97" s="324"/>
      <c r="E97" s="324"/>
      <c r="F97" s="324"/>
    </row>
    <row r="98" spans="1:6">
      <c r="A98" s="1291" t="s">
        <v>71</v>
      </c>
      <c r="B98" s="1292">
        <v>1</v>
      </c>
      <c r="C98" s="324"/>
      <c r="D98" s="324"/>
      <c r="E98" s="324"/>
      <c r="F98" s="324"/>
    </row>
    <row r="99" spans="1:6">
      <c r="A99" s="1291" t="s">
        <v>72</v>
      </c>
      <c r="B99" s="1292">
        <v>41</v>
      </c>
      <c r="C99" s="324"/>
      <c r="D99" s="324"/>
      <c r="E99" s="324"/>
      <c r="F99" s="324"/>
    </row>
    <row r="100" spans="1:6">
      <c r="A100" s="1291" t="s">
        <v>73</v>
      </c>
      <c r="B100" s="1292">
        <v>983</v>
      </c>
      <c r="C100" s="324"/>
      <c r="D100" s="324"/>
      <c r="E100" s="324"/>
      <c r="F100" s="324"/>
    </row>
    <row r="101" spans="1:6">
      <c r="A101" s="1291" t="s">
        <v>74</v>
      </c>
      <c r="B101" s="1292">
        <v>41</v>
      </c>
      <c r="C101" s="324"/>
      <c r="D101" s="324"/>
      <c r="E101" s="324"/>
      <c r="F101" s="324"/>
    </row>
    <row r="102" spans="1:6">
      <c r="A102" s="1291" t="s">
        <v>75</v>
      </c>
      <c r="B102" s="1292">
        <v>133</v>
      </c>
      <c r="C102" s="324"/>
      <c r="D102" s="324"/>
      <c r="E102" s="324"/>
      <c r="F102" s="324"/>
    </row>
    <row r="103" spans="1:6">
      <c r="A103" s="1291" t="s">
        <v>76</v>
      </c>
      <c r="B103" s="1292">
        <v>51</v>
      </c>
      <c r="C103" s="324"/>
      <c r="D103" s="324"/>
      <c r="E103" s="324"/>
      <c r="F103" s="324"/>
    </row>
    <row r="104" spans="1:6">
      <c r="A104" s="1291" t="s">
        <v>77</v>
      </c>
      <c r="B104" s="1292">
        <v>586</v>
      </c>
      <c r="C104" s="324"/>
      <c r="D104" s="324"/>
      <c r="E104" s="324"/>
      <c r="F104" s="324"/>
    </row>
    <row r="105" spans="1:6">
      <c r="A105" s="1286" t="s">
        <v>78</v>
      </c>
      <c r="B105" s="129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53</v>
      </c>
      <c r="C123" s="1292">
        <v>10</v>
      </c>
      <c r="D123" s="324"/>
      <c r="E123" s="324"/>
      <c r="F123" s="324"/>
    </row>
    <row r="124" spans="1:6" s="43" customFormat="1">
      <c r="A124" s="1293" t="s">
        <v>88</v>
      </c>
      <c r="B124" s="1314">
        <v>0</v>
      </c>
      <c r="C124" s="1314">
        <v>1</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66</v>
      </c>
      <c r="C129" s="324"/>
      <c r="D129" s="324"/>
      <c r="E129" s="324"/>
      <c r="F129" s="324"/>
    </row>
    <row r="130" spans="1:6">
      <c r="A130" s="1291" t="s">
        <v>289</v>
      </c>
      <c r="B130" s="1292">
        <v>5</v>
      </c>
      <c r="C130" s="324"/>
      <c r="D130" s="324"/>
      <c r="E130" s="324"/>
      <c r="F130" s="324"/>
    </row>
    <row r="131" spans="1:6">
      <c r="A131" s="1291" t="s">
        <v>290</v>
      </c>
      <c r="B131" s="1292">
        <v>1</v>
      </c>
      <c r="C131" s="324"/>
      <c r="D131" s="324"/>
      <c r="E131" s="324"/>
      <c r="F131" s="324"/>
    </row>
    <row r="132" spans="1:6">
      <c r="A132" s="1286" t="s">
        <v>291</v>
      </c>
      <c r="B132" s="1287">
        <v>3</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82102.264027338519</v>
      </c>
      <c r="C3" s="43" t="s">
        <v>169</v>
      </c>
      <c r="D3" s="43"/>
      <c r="E3" s="154"/>
      <c r="F3" s="43"/>
      <c r="G3" s="43"/>
      <c r="H3" s="43"/>
      <c r="I3" s="43"/>
      <c r="J3" s="43"/>
      <c r="K3" s="96"/>
    </row>
    <row r="4" spans="1:11">
      <c r="A4" s="352" t="s">
        <v>170</v>
      </c>
      <c r="B4" s="49">
        <f>IF(ISERROR('SEAP template'!B78+'SEAP template'!C78),0,'SEAP template'!B78+'SEAP template'!C78)</f>
        <v>1670.1821007234023</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0.21650426229248726</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1041.7080000000001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1041.7080000000001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0.21650426229248726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225.53422206418233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25802.246151521602</v>
      </c>
      <c r="C5" s="17">
        <f>IF(ISERROR('Eigen informatie GS &amp; warmtenet'!B57),0,'Eigen informatie GS &amp; warmtenet'!B57)</f>
        <v>0</v>
      </c>
      <c r="D5" s="30">
        <f>(SUM(HH_hh_gas_kWh,HH_rest_gas_kWh)/1000)*0.902</f>
        <v>47031.056815863973</v>
      </c>
      <c r="E5" s="17">
        <f>B32*B41</f>
        <v>924.82401994760551</v>
      </c>
      <c r="F5" s="17">
        <f>B36*B45</f>
        <v>23430.895124205257</v>
      </c>
      <c r="G5" s="18"/>
      <c r="H5" s="17"/>
      <c r="I5" s="17"/>
      <c r="J5" s="17">
        <f>B35*B44+C35*C44</f>
        <v>112.74683859737425</v>
      </c>
      <c r="K5" s="17"/>
      <c r="L5" s="17"/>
      <c r="M5" s="17"/>
      <c r="N5" s="17">
        <f>B34*B43+C34*C43</f>
        <v>8245.4924901695049</v>
      </c>
      <c r="O5" s="17">
        <f>B52*B53*B54</f>
        <v>120.37666666666668</v>
      </c>
      <c r="P5" s="17">
        <f>B60*B61*B62/1000-B60*B61*B62/1000/B63</f>
        <v>1067.7333333333333</v>
      </c>
    </row>
    <row r="6" spans="1:16">
      <c r="A6" s="16" t="s">
        <v>613</v>
      </c>
      <c r="B6" s="756">
        <f>kWh_PV_kleiner_dan_10kW</f>
        <v>1272.3430399230413</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27074.589191444644</v>
      </c>
      <c r="C8" s="21">
        <f>C5</f>
        <v>0</v>
      </c>
      <c r="D8" s="21">
        <f>D5</f>
        <v>47031.056815863973</v>
      </c>
      <c r="E8" s="21">
        <f>E5</f>
        <v>924.82401994760551</v>
      </c>
      <c r="F8" s="21">
        <f>F5</f>
        <v>23430.895124205257</v>
      </c>
      <c r="G8" s="21"/>
      <c r="H8" s="21"/>
      <c r="I8" s="21"/>
      <c r="J8" s="21">
        <f>J5</f>
        <v>112.74683859737425</v>
      </c>
      <c r="K8" s="21"/>
      <c r="L8" s="21">
        <f>L5</f>
        <v>0</v>
      </c>
      <c r="M8" s="21">
        <f>M5</f>
        <v>0</v>
      </c>
      <c r="N8" s="21">
        <f>N5</f>
        <v>8245.4924901695049</v>
      </c>
      <c r="O8" s="21">
        <f>O5</f>
        <v>120.37666666666668</v>
      </c>
      <c r="P8" s="21">
        <f>P5</f>
        <v>1067.7333333333333</v>
      </c>
    </row>
    <row r="9" spans="1:16">
      <c r="B9" s="19"/>
      <c r="C9" s="19"/>
      <c r="D9" s="254"/>
      <c r="E9" s="19"/>
      <c r="F9" s="19"/>
      <c r="G9" s="19"/>
      <c r="H9" s="19"/>
      <c r="I9" s="19"/>
      <c r="J9" s="19"/>
      <c r="K9" s="19"/>
      <c r="L9" s="19"/>
      <c r="M9" s="19"/>
      <c r="N9" s="19"/>
      <c r="O9" s="19"/>
      <c r="P9" s="19"/>
    </row>
    <row r="10" spans="1:16">
      <c r="A10" s="24" t="s">
        <v>213</v>
      </c>
      <c r="B10" s="25">
        <f ca="1">'EF ele_warmte'!B12</f>
        <v>0.21650426229248726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5861.7639597658717</v>
      </c>
      <c r="C12" s="23">
        <f ca="1">C10*C8</f>
        <v>0</v>
      </c>
      <c r="D12" s="23">
        <f>D8*D10</f>
        <v>9500.2734768045229</v>
      </c>
      <c r="E12" s="23">
        <f>E10*E8</f>
        <v>209.93505252810647</v>
      </c>
      <c r="F12" s="23">
        <f>F10*F8</f>
        <v>6256.0489981628043</v>
      </c>
      <c r="G12" s="23"/>
      <c r="H12" s="23"/>
      <c r="I12" s="23"/>
      <c r="J12" s="23">
        <f>J10*J8</f>
        <v>39.912380863470482</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5863</v>
      </c>
      <c r="C26" s="36"/>
      <c r="D26" s="225"/>
    </row>
    <row r="27" spans="1:5" s="15" customFormat="1">
      <c r="A27" s="227" t="s">
        <v>768</v>
      </c>
      <c r="B27" s="37">
        <f>SUM(HH_hh_gas_aantal,HH_rest_gas_aantal)</f>
        <v>4439</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4217.05</v>
      </c>
      <c r="C31" s="34" t="s">
        <v>110</v>
      </c>
      <c r="D31" s="171"/>
    </row>
    <row r="32" spans="1:5">
      <c r="A32" s="168" t="s">
        <v>72</v>
      </c>
      <c r="B32" s="33">
        <f>IF((B21*($B$26-($B$27-0.05*$B$27)-$B$60))&lt;0,0,B21*($B$26-($B$27-0.05*$B$27)-$B$60))</f>
        <v>17.490235911312482</v>
      </c>
      <c r="C32" s="34" t="s">
        <v>110</v>
      </c>
      <c r="D32" s="171"/>
    </row>
    <row r="33" spans="1:6">
      <c r="A33" s="168" t="s">
        <v>73</v>
      </c>
      <c r="B33" s="33">
        <f>IF((B22*($B$26-($B$27-0.05*$B$27)-$B$60))&lt;0,0,B22*($B$26-($B$27-0.05*$B$27)-$B$60))</f>
        <v>363.63669235906434</v>
      </c>
      <c r="C33" s="34" t="s">
        <v>110</v>
      </c>
      <c r="D33" s="171"/>
    </row>
    <row r="34" spans="1:6">
      <c r="A34" s="168" t="s">
        <v>74</v>
      </c>
      <c r="B34" s="33">
        <f>IF((B24*($B$26-($B$27-0.05*$B$27)-$B$60))&lt;0,0,B24*($B$26-($B$27-0.05*$B$27)-$B$60))</f>
        <v>72.31441106336176</v>
      </c>
      <c r="C34" s="33">
        <f>B26*C24</f>
        <v>1200.1300221467186</v>
      </c>
      <c r="D34" s="230"/>
    </row>
    <row r="35" spans="1:6">
      <c r="A35" s="168" t="s">
        <v>76</v>
      </c>
      <c r="B35" s="33">
        <f>IF((B19*($B$26-($B$27-0.05*$B$27)-$B$60))&lt;0,0,B19*($B$26-($B$27-0.05*$B$27)-$B$60))</f>
        <v>13.238222600875851</v>
      </c>
      <c r="C35" s="33">
        <f>B35/2</f>
        <v>6.6191113004379254</v>
      </c>
      <c r="D35" s="230"/>
    </row>
    <row r="36" spans="1:6">
      <c r="A36" s="168" t="s">
        <v>77</v>
      </c>
      <c r="B36" s="33">
        <f>IF((B18*($B$26-($B$27-0.05*$B$27)-$B$60))&lt;0,0,B18*($B$26-($B$27-0.05*$B$27)-$B$60))</f>
        <v>1123.2704380653854</v>
      </c>
      <c r="C36" s="34" t="s">
        <v>110</v>
      </c>
      <c r="D36" s="171"/>
    </row>
    <row r="37" spans="1:6">
      <c r="A37" s="168" t="s">
        <v>78</v>
      </c>
      <c r="B37" s="33">
        <f>B60</f>
        <v>56</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77</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56</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35959.281407883187</v>
      </c>
      <c r="C5" s="17">
        <f>IF(ISERROR('Eigen informatie GS &amp; warmtenet'!B58),0,'Eigen informatie GS &amp; warmtenet'!B58)</f>
        <v>0</v>
      </c>
      <c r="D5" s="30">
        <f>SUM(D6:D12)</f>
        <v>41991.050498904879</v>
      </c>
      <c r="E5" s="17">
        <f>SUM(E6:E12)</f>
        <v>495.88214192955195</v>
      </c>
      <c r="F5" s="17">
        <f>SUM(F6:F12)</f>
        <v>6073.1494775571882</v>
      </c>
      <c r="G5" s="18"/>
      <c r="H5" s="17"/>
      <c r="I5" s="17"/>
      <c r="J5" s="17">
        <f>SUM(J6:J12)</f>
        <v>7.5796307010755168E-2</v>
      </c>
      <c r="K5" s="17"/>
      <c r="L5" s="17"/>
      <c r="M5" s="17"/>
      <c r="N5" s="17">
        <f>SUM(N6:N12)</f>
        <v>3027.1734446889018</v>
      </c>
      <c r="O5" s="17">
        <f>B38*B39*B40</f>
        <v>7.8166666666666664</v>
      </c>
      <c r="P5" s="17">
        <f>B46*B47*B48/1000-B46*B47*B48/1000/B49</f>
        <v>19.066666666666666</v>
      </c>
      <c r="R5" s="32"/>
    </row>
    <row r="6" spans="1:18">
      <c r="A6" s="32" t="s">
        <v>53</v>
      </c>
      <c r="B6" s="37">
        <f>B26</f>
        <v>10867.4159390521</v>
      </c>
      <c r="C6" s="33"/>
      <c r="D6" s="37">
        <f>IF(ISERROR(TER_kantoor_gas_kWh/1000),0,TER_kantoor_gas_kWh/1000)*0.902</f>
        <v>10275.443565764497</v>
      </c>
      <c r="E6" s="33">
        <f>$C$26*'E Balans VL '!I12/100/3.6*1000000</f>
        <v>6.8113348660062634E-2</v>
      </c>
      <c r="F6" s="33">
        <f>$C$26*('E Balans VL '!L12+'E Balans VL '!N12)/100/3.6*1000000</f>
        <v>1633.0689510765617</v>
      </c>
      <c r="G6" s="34"/>
      <c r="H6" s="33"/>
      <c r="I6" s="33"/>
      <c r="J6" s="33">
        <f>$C$26*('E Balans VL '!D12+'E Balans VL '!E12)/100/3.6*1000000</f>
        <v>0</v>
      </c>
      <c r="K6" s="33"/>
      <c r="L6" s="33"/>
      <c r="M6" s="33"/>
      <c r="N6" s="33">
        <f>$C$26*'E Balans VL '!Y12/100/3.6*1000000</f>
        <v>10.393072074462751</v>
      </c>
      <c r="O6" s="33"/>
      <c r="P6" s="33"/>
      <c r="R6" s="32"/>
    </row>
    <row r="7" spans="1:18">
      <c r="A7" s="32" t="s">
        <v>52</v>
      </c>
      <c r="B7" s="37">
        <f t="shared" ref="B7:B12" si="0">B27</f>
        <v>6871.8762924061002</v>
      </c>
      <c r="C7" s="33"/>
      <c r="D7" s="37">
        <f>IF(ISERROR(TER_horeca_gas_kWh/1000),0,TER_horeca_gas_kWh/1000)*0.902</f>
        <v>11150.88626066245</v>
      </c>
      <c r="E7" s="33">
        <f>$C$27*'E Balans VL '!I9/100/3.6*1000000</f>
        <v>98.404123871173894</v>
      </c>
      <c r="F7" s="33">
        <f>$C$27*('E Balans VL '!L9+'E Balans VL '!N9)/100/3.6*1000000</f>
        <v>870.20618183036152</v>
      </c>
      <c r="G7" s="34"/>
      <c r="H7" s="33"/>
      <c r="I7" s="33"/>
      <c r="J7" s="33">
        <f>$C$27*('E Balans VL '!D9+'E Balans VL '!E9)/100/3.6*1000000</f>
        <v>0</v>
      </c>
      <c r="K7" s="33"/>
      <c r="L7" s="33"/>
      <c r="M7" s="33"/>
      <c r="N7" s="33">
        <f>$C$27*'E Balans VL '!Y9/100/3.6*1000000</f>
        <v>1.9755129222002343</v>
      </c>
      <c r="O7" s="33"/>
      <c r="P7" s="33"/>
      <c r="R7" s="32"/>
    </row>
    <row r="8" spans="1:18">
      <c r="A8" s="6" t="s">
        <v>51</v>
      </c>
      <c r="B8" s="37">
        <f t="shared" si="0"/>
        <v>9557.9094824968415</v>
      </c>
      <c r="C8" s="33"/>
      <c r="D8" s="37">
        <f>IF(ISERROR(TER_handel_gas_kWh/1000),0,TER_handel_gas_kWh/1000)*0.902</f>
        <v>5183.8411716733626</v>
      </c>
      <c r="E8" s="33">
        <f>$C$28*'E Balans VL '!I13/100/3.6*1000000</f>
        <v>346.66419830156741</v>
      </c>
      <c r="F8" s="33">
        <f>$C$28*('E Balans VL '!L13+'E Balans VL '!N13)/100/3.6*1000000</f>
        <v>1840.9501463154813</v>
      </c>
      <c r="G8" s="34"/>
      <c r="H8" s="33"/>
      <c r="I8" s="33"/>
      <c r="J8" s="33">
        <f>$C$28*('E Balans VL '!D13+'E Balans VL '!E13)/100/3.6*1000000</f>
        <v>0</v>
      </c>
      <c r="K8" s="33"/>
      <c r="L8" s="33"/>
      <c r="M8" s="33"/>
      <c r="N8" s="33">
        <f>$C$28*'E Balans VL '!Y13/100/3.6*1000000</f>
        <v>13.239903810149697</v>
      </c>
      <c r="O8" s="33"/>
      <c r="P8" s="33"/>
      <c r="R8" s="32"/>
    </row>
    <row r="9" spans="1:18">
      <c r="A9" s="32" t="s">
        <v>50</v>
      </c>
      <c r="B9" s="37">
        <f t="shared" si="0"/>
        <v>1830.23672725034</v>
      </c>
      <c r="C9" s="33"/>
      <c r="D9" s="37">
        <f>IF(ISERROR(TER_gezond_gas_kWh/1000),0,TER_gezond_gas_kWh/1000)*0.902</f>
        <v>367.63392514410634</v>
      </c>
      <c r="E9" s="33">
        <f>$C$29*'E Balans VL '!I10/100/3.6*1000000</f>
        <v>0.11459088944896025</v>
      </c>
      <c r="F9" s="33">
        <f>$C$29*('E Balans VL '!L10+'E Balans VL '!N10)/100/3.6*1000000</f>
        <v>271.88723837317178</v>
      </c>
      <c r="G9" s="34"/>
      <c r="H9" s="33"/>
      <c r="I9" s="33"/>
      <c r="J9" s="33">
        <f>$C$29*('E Balans VL '!D10+'E Balans VL '!E10)/100/3.6*1000000</f>
        <v>0</v>
      </c>
      <c r="K9" s="33"/>
      <c r="L9" s="33"/>
      <c r="M9" s="33"/>
      <c r="N9" s="33">
        <f>$C$29*'E Balans VL '!Y10/100/3.6*1000000</f>
        <v>28.310278299856403</v>
      </c>
      <c r="O9" s="33"/>
      <c r="P9" s="33"/>
      <c r="R9" s="32"/>
    </row>
    <row r="10" spans="1:18">
      <c r="A10" s="32" t="s">
        <v>49</v>
      </c>
      <c r="B10" s="37">
        <f t="shared" si="0"/>
        <v>3101.03307912835</v>
      </c>
      <c r="C10" s="33"/>
      <c r="D10" s="37">
        <f>IF(ISERROR(TER_ander_gas_kWh/1000),0,TER_ander_gas_kWh/1000)*0.902</f>
        <v>3823.6311340290049</v>
      </c>
      <c r="E10" s="33">
        <f>$C$30*'E Balans VL '!I14/100/3.6*1000000</f>
        <v>3.6963206181227162</v>
      </c>
      <c r="F10" s="33">
        <f>$C$30*('E Balans VL '!L14+'E Balans VL '!N14)/100/3.6*1000000</f>
        <v>811.36811460263016</v>
      </c>
      <c r="G10" s="34"/>
      <c r="H10" s="33"/>
      <c r="I10" s="33"/>
      <c r="J10" s="33">
        <f>$C$30*('E Balans VL '!D14+'E Balans VL '!E14)/100/3.6*1000000</f>
        <v>6.7311272433849365E-2</v>
      </c>
      <c r="K10" s="33"/>
      <c r="L10" s="33"/>
      <c r="M10" s="33"/>
      <c r="N10" s="33">
        <f>$C$30*'E Balans VL '!Y14/100/3.6*1000000</f>
        <v>2633.3214095844523</v>
      </c>
      <c r="O10" s="33"/>
      <c r="P10" s="33"/>
      <c r="R10" s="32"/>
    </row>
    <row r="11" spans="1:18">
      <c r="A11" s="32" t="s">
        <v>54</v>
      </c>
      <c r="B11" s="37">
        <f t="shared" si="0"/>
        <v>226.805696741898</v>
      </c>
      <c r="C11" s="33"/>
      <c r="D11" s="37">
        <f>IF(ISERROR(TER_onderwijs_gas_kWh/1000),0,TER_onderwijs_gas_kWh/1000)*0.902</f>
        <v>152.22905823231287</v>
      </c>
      <c r="E11" s="33">
        <f>$C$31*'E Balans VL '!I11/100/3.6*1000000</f>
        <v>3.4221326585238674</v>
      </c>
      <c r="F11" s="33">
        <f>$C$31*('E Balans VL '!L11+'E Balans VL '!N11)/100/3.6*1000000</f>
        <v>39.739981397978795</v>
      </c>
      <c r="G11" s="34"/>
      <c r="H11" s="33"/>
      <c r="I11" s="33"/>
      <c r="J11" s="33">
        <f>$C$31*('E Balans VL '!D11+'E Balans VL '!E11)/100/3.6*1000000</f>
        <v>0</v>
      </c>
      <c r="K11" s="33"/>
      <c r="L11" s="33"/>
      <c r="M11" s="33"/>
      <c r="N11" s="33">
        <f>$C$31*'E Balans VL '!Y11/100/3.6*1000000</f>
        <v>0.63824847305739107</v>
      </c>
      <c r="O11" s="33"/>
      <c r="P11" s="33"/>
      <c r="R11" s="32"/>
    </row>
    <row r="12" spans="1:18">
      <c r="A12" s="32" t="s">
        <v>254</v>
      </c>
      <c r="B12" s="37">
        <f t="shared" si="0"/>
        <v>3504.00419080756</v>
      </c>
      <c r="C12" s="33"/>
      <c r="D12" s="37">
        <f>IF(ISERROR(TER_rest_gas_kWh/1000),0,TER_rest_gas_kWh/1000)*0.902</f>
        <v>11037.385383399152</v>
      </c>
      <c r="E12" s="33">
        <f>$C$32*'E Balans VL '!I8/100/3.6*1000000</f>
        <v>43.512662242055001</v>
      </c>
      <c r="F12" s="33">
        <f>$C$32*('E Balans VL '!L8+'E Balans VL '!N8)/100/3.6*1000000</f>
        <v>605.92886396100346</v>
      </c>
      <c r="G12" s="34"/>
      <c r="H12" s="33"/>
      <c r="I12" s="33"/>
      <c r="J12" s="33">
        <f>$C$32*('E Balans VL '!D8+'E Balans VL '!E8)/100/3.6*1000000</f>
        <v>8.4850345769058085E-3</v>
      </c>
      <c r="K12" s="33"/>
      <c r="L12" s="33"/>
      <c r="M12" s="33"/>
      <c r="N12" s="33">
        <f>$C$32*'E Balans VL '!Y8/100/3.6*1000000</f>
        <v>339.29501952472248</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35959.281407883187</v>
      </c>
      <c r="C16" s="21">
        <f t="shared" ca="1" si="1"/>
        <v>0</v>
      </c>
      <c r="D16" s="21">
        <f t="shared" ca="1" si="1"/>
        <v>41991.050498904879</v>
      </c>
      <c r="E16" s="21">
        <f t="shared" si="1"/>
        <v>495.88214192955195</v>
      </c>
      <c r="F16" s="21">
        <f t="shared" ca="1" si="1"/>
        <v>6073.1494775571882</v>
      </c>
      <c r="G16" s="21">
        <f t="shared" si="1"/>
        <v>0</v>
      </c>
      <c r="H16" s="21">
        <f t="shared" si="1"/>
        <v>0</v>
      </c>
      <c r="I16" s="21">
        <f t="shared" si="1"/>
        <v>0</v>
      </c>
      <c r="J16" s="21">
        <f t="shared" si="1"/>
        <v>7.5796307010755168E-2</v>
      </c>
      <c r="K16" s="21">
        <f t="shared" si="1"/>
        <v>0</v>
      </c>
      <c r="L16" s="21">
        <f t="shared" ca="1" si="1"/>
        <v>0</v>
      </c>
      <c r="M16" s="21">
        <f t="shared" si="1"/>
        <v>0</v>
      </c>
      <c r="N16" s="21">
        <f t="shared" ca="1" si="1"/>
        <v>3027.1734446889018</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0.21650426229248726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7785.337693781702</v>
      </c>
      <c r="C20" s="23">
        <f t="shared" ref="C20:P20" ca="1" si="2">C16*C18</f>
        <v>0</v>
      </c>
      <c r="D20" s="23">
        <f t="shared" ca="1" si="2"/>
        <v>8482.1922007787853</v>
      </c>
      <c r="E20" s="23">
        <f t="shared" si="2"/>
        <v>112.5652462180083</v>
      </c>
      <c r="F20" s="23">
        <f t="shared" ca="1" si="2"/>
        <v>1621.5309105077692</v>
      </c>
      <c r="G20" s="23">
        <f t="shared" si="2"/>
        <v>0</v>
      </c>
      <c r="H20" s="23">
        <f t="shared" si="2"/>
        <v>0</v>
      </c>
      <c r="I20" s="23">
        <f t="shared" si="2"/>
        <v>0</v>
      </c>
      <c r="J20" s="23">
        <f t="shared" si="2"/>
        <v>2.6831892681807329E-2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10867.4159390521</v>
      </c>
      <c r="C26" s="39">
        <f>IF(ISERROR(B26*3.6/1000000/'E Balans VL '!Z12*100),0,B26*3.6/1000000/'E Balans VL '!Z12*100)</f>
        <v>0.22971995757414063</v>
      </c>
      <c r="D26" s="233" t="s">
        <v>732</v>
      </c>
      <c r="F26" s="6"/>
    </row>
    <row r="27" spans="1:18">
      <c r="A27" s="228" t="s">
        <v>52</v>
      </c>
      <c r="B27" s="33">
        <f>IF(ISERROR(TER_horeca_ele_kWh/1000),0,TER_horeca_ele_kWh/1000)</f>
        <v>6871.8762924061002</v>
      </c>
      <c r="C27" s="39">
        <f>IF(ISERROR(B27*3.6/1000000/'E Balans VL '!Z9*100),0,B27*3.6/1000000/'E Balans VL '!Z9*100)</f>
        <v>0.54170744685132066</v>
      </c>
      <c r="D27" s="233" t="s">
        <v>732</v>
      </c>
      <c r="F27" s="6"/>
    </row>
    <row r="28" spans="1:18">
      <c r="A28" s="168" t="s">
        <v>51</v>
      </c>
      <c r="B28" s="33">
        <f>IF(ISERROR(TER_handel_ele_kWh/1000),0,TER_handel_ele_kWh/1000)</f>
        <v>9557.9094824968415</v>
      </c>
      <c r="C28" s="39">
        <f>IF(ISERROR(B28*3.6/1000000/'E Balans VL '!Z13*100),0,B28*3.6/1000000/'E Balans VL '!Z13*100)</f>
        <v>0.27740915146378181</v>
      </c>
      <c r="D28" s="233" t="s">
        <v>732</v>
      </c>
      <c r="F28" s="6"/>
    </row>
    <row r="29" spans="1:18">
      <c r="A29" s="228" t="s">
        <v>50</v>
      </c>
      <c r="B29" s="33">
        <f>IF(ISERROR(TER_gezond_ele_kWh/1000),0,TER_gezond_ele_kWh/1000)</f>
        <v>1830.23672725034</v>
      </c>
      <c r="C29" s="39">
        <f>IF(ISERROR(B29*3.6/1000000/'E Balans VL '!Z10*100),0,B29*3.6/1000000/'E Balans VL '!Z10*100)</f>
        <v>0.1927539806598127</v>
      </c>
      <c r="D29" s="233" t="s">
        <v>732</v>
      </c>
      <c r="F29" s="6"/>
    </row>
    <row r="30" spans="1:18">
      <c r="A30" s="228" t="s">
        <v>49</v>
      </c>
      <c r="B30" s="33">
        <f>IF(ISERROR(TER_ander_ele_kWh/1000),0,TER_ander_ele_kWh/1000)</f>
        <v>3101.03307912835</v>
      </c>
      <c r="C30" s="39">
        <f>IF(ISERROR(B30*3.6/1000000/'E Balans VL '!Z14*100),0,B30*3.6/1000000/'E Balans VL '!Z14*100)</f>
        <v>0.22873287345754142</v>
      </c>
      <c r="D30" s="233" t="s">
        <v>732</v>
      </c>
      <c r="F30" s="6"/>
    </row>
    <row r="31" spans="1:18">
      <c r="A31" s="228" t="s">
        <v>54</v>
      </c>
      <c r="B31" s="33">
        <f>IF(ISERROR(TER_onderwijs_ele_kWh/1000),0,TER_onderwijs_ele_kWh/1000)</f>
        <v>226.805696741898</v>
      </c>
      <c r="C31" s="39">
        <f>IF(ISERROR(B31*3.6/1000000/'E Balans VL '!Z11*100),0,B31*3.6/1000000/'E Balans VL '!Z11*100)</f>
        <v>5.6326478705529946E-2</v>
      </c>
      <c r="D31" s="233" t="s">
        <v>732</v>
      </c>
    </row>
    <row r="32" spans="1:18">
      <c r="A32" s="228" t="s">
        <v>254</v>
      </c>
      <c r="B32" s="33">
        <f>IF(ISERROR(TER_rest_ele_kWh/1000),0,TER_rest_ele_kWh/1000)</f>
        <v>3504.00419080756</v>
      </c>
      <c r="C32" s="39">
        <f>IF(ISERROR(B32*3.6/1000000/'E Balans VL '!Z8*100),0,B32*3.6/1000000/'E Balans VL '!Z8*100)</f>
        <v>2.8833303397578773E-2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5</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5639.2965509758087</v>
      </c>
      <c r="C5" s="17">
        <f>IF(ISERROR('Eigen informatie GS &amp; warmtenet'!B59),0,'Eigen informatie GS &amp; warmtenet'!B59)</f>
        <v>0</v>
      </c>
      <c r="D5" s="30">
        <f>SUM(D6:D15)</f>
        <v>4414.8197841974434</v>
      </c>
      <c r="E5" s="17">
        <f>SUM(E6:E15)</f>
        <v>789.91148841824645</v>
      </c>
      <c r="F5" s="17">
        <f>SUM(F6:F15)</f>
        <v>2342.6032435139859</v>
      </c>
      <c r="G5" s="18"/>
      <c r="H5" s="17"/>
      <c r="I5" s="17"/>
      <c r="J5" s="17">
        <f>SUM(J6:J15)</f>
        <v>9.438787216482071</v>
      </c>
      <c r="K5" s="17"/>
      <c r="L5" s="17"/>
      <c r="M5" s="17"/>
      <c r="N5" s="17">
        <f>SUM(N6:N15)</f>
        <v>400.91564433815461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220.16397844902301</v>
      </c>
      <c r="C8" s="33"/>
      <c r="D8" s="37">
        <f>IF( ISERROR(IND_metaal_Gas_kWH/1000),0,IND_metaal_Gas_kWH/1000)*0.902</f>
        <v>229.6273175743429</v>
      </c>
      <c r="E8" s="33">
        <f>C30*'E Balans VL '!I18/100/3.6*1000000</f>
        <v>2.0241951454462024</v>
      </c>
      <c r="F8" s="33">
        <f>C30*'E Balans VL '!L18/100/3.6*1000000+C30*'E Balans VL '!N18/100/3.6*1000000</f>
        <v>20.644051177699502</v>
      </c>
      <c r="G8" s="34"/>
      <c r="H8" s="33"/>
      <c r="I8" s="33"/>
      <c r="J8" s="40">
        <f>C30*'E Balans VL '!D18/100/3.6*1000000+C30*'E Balans VL '!E18/100/3.6*1000000</f>
        <v>0</v>
      </c>
      <c r="K8" s="33"/>
      <c r="L8" s="33"/>
      <c r="M8" s="33"/>
      <c r="N8" s="33">
        <f>C30*'E Balans VL '!Y18/100/3.6*1000000</f>
        <v>3.1410029888712279</v>
      </c>
      <c r="O8" s="33"/>
      <c r="P8" s="33"/>
      <c r="R8" s="32"/>
    </row>
    <row r="9" spans="1:18">
      <c r="A9" s="6" t="s">
        <v>32</v>
      </c>
      <c r="B9" s="37">
        <f t="shared" si="0"/>
        <v>2193.0138259790301</v>
      </c>
      <c r="C9" s="33"/>
      <c r="D9" s="37">
        <f>IF( ISERROR(IND_andere_gas_kWh/1000),0,IND_andere_gas_kWh/1000)*0.902</f>
        <v>1306.8990310272495</v>
      </c>
      <c r="E9" s="33">
        <f>C31*'E Balans VL '!I19/100/3.6*1000000</f>
        <v>641.06063427725883</v>
      </c>
      <c r="F9" s="33">
        <f>C31*'E Balans VL '!L19/100/3.6*1000000+C31*'E Balans VL '!N19/100/3.6*1000000</f>
        <v>1762.252605068092</v>
      </c>
      <c r="G9" s="34"/>
      <c r="H9" s="33"/>
      <c r="I9" s="33"/>
      <c r="J9" s="40">
        <f>C31*'E Balans VL '!D19/100/3.6*1000000+C31*'E Balans VL '!E19/100/3.6*1000000</f>
        <v>0</v>
      </c>
      <c r="K9" s="33"/>
      <c r="L9" s="33"/>
      <c r="M9" s="33"/>
      <c r="N9" s="33">
        <f>C31*'E Balans VL '!Y19/100/3.6*1000000</f>
        <v>172.01702602668487</v>
      </c>
      <c r="O9" s="33"/>
      <c r="P9" s="33"/>
      <c r="R9" s="32"/>
    </row>
    <row r="10" spans="1:18">
      <c r="A10" s="6" t="s">
        <v>40</v>
      </c>
      <c r="B10" s="37">
        <f t="shared" si="0"/>
        <v>589.57200015848593</v>
      </c>
      <c r="C10" s="33"/>
      <c r="D10" s="37">
        <f>IF( ISERROR(IND_voed_gas_kWh/1000),0,IND_voed_gas_kWh/1000)*0.902</f>
        <v>1062.3715399263224</v>
      </c>
      <c r="E10" s="33">
        <f>C32*'E Balans VL '!I20/100/3.6*1000000</f>
        <v>1.2472487077574095</v>
      </c>
      <c r="F10" s="33">
        <f>C32*'E Balans VL '!L20/100/3.6*1000000+C32*'E Balans VL '!N20/100/3.6*1000000</f>
        <v>37.485590000214579</v>
      </c>
      <c r="G10" s="34"/>
      <c r="H10" s="33"/>
      <c r="I10" s="33"/>
      <c r="J10" s="40">
        <f>C32*'E Balans VL '!D20/100/3.6*1000000+C32*'E Balans VL '!E20/100/3.6*1000000</f>
        <v>0</v>
      </c>
      <c r="K10" s="33"/>
      <c r="L10" s="33"/>
      <c r="M10" s="33"/>
      <c r="N10" s="33">
        <f>C32*'E Balans VL '!Y20/100/3.6*1000000</f>
        <v>40.686286049594436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2636.5467463892696</v>
      </c>
      <c r="C15" s="33"/>
      <c r="D15" s="37">
        <f>IF( ISERROR(IND_rest_gas_kWh/1000),0,IND_rest_gas_kWh/1000)*0.902</f>
        <v>1815.9218956695281</v>
      </c>
      <c r="E15" s="33">
        <f>C37*'E Balans VL '!I15/100/3.6*1000000</f>
        <v>145.57941028778393</v>
      </c>
      <c r="F15" s="33">
        <f>C37*'E Balans VL '!L15/100/3.6*1000000+C37*'E Balans VL '!N15/100/3.6*1000000</f>
        <v>522.22099726797978</v>
      </c>
      <c r="G15" s="34"/>
      <c r="H15" s="33"/>
      <c r="I15" s="33"/>
      <c r="J15" s="40">
        <f>C37*'E Balans VL '!D15/100/3.6*1000000+C37*'E Balans VL '!E15/100/3.6*1000000</f>
        <v>9.438787216482071</v>
      </c>
      <c r="K15" s="33"/>
      <c r="L15" s="33"/>
      <c r="M15" s="33"/>
      <c r="N15" s="33">
        <f>C37*'E Balans VL '!Y15/100/3.6*1000000</f>
        <v>185.07132927300407</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5639.2965509758087</v>
      </c>
      <c r="C18" s="21">
        <f>C5+C16</f>
        <v>0</v>
      </c>
      <c r="D18" s="21">
        <f>MAX((D5+D16),0)</f>
        <v>4414.8197841974434</v>
      </c>
      <c r="E18" s="21">
        <f>MAX((E5+E16),0)</f>
        <v>789.91148841824645</v>
      </c>
      <c r="F18" s="21">
        <f>MAX((F5+F16),0)</f>
        <v>2342.6032435139859</v>
      </c>
      <c r="G18" s="21"/>
      <c r="H18" s="21"/>
      <c r="I18" s="21"/>
      <c r="J18" s="21">
        <f>MAX((J5+J16),0)</f>
        <v>9.438787216482071</v>
      </c>
      <c r="K18" s="21"/>
      <c r="L18" s="21">
        <f>MAX((L5+L16),0)</f>
        <v>0</v>
      </c>
      <c r="M18" s="21"/>
      <c r="N18" s="21">
        <f>MAX((N5+N16),0)</f>
        <v>400.91564433815461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0.21650426229248726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1220.9317396175852</v>
      </c>
      <c r="C22" s="23">
        <f ca="1">C18*C20</f>
        <v>0</v>
      </c>
      <c r="D22" s="23">
        <f>D18*D20</f>
        <v>891.79359640788357</v>
      </c>
      <c r="E22" s="23">
        <f>E18*E20</f>
        <v>179.30990787094194</v>
      </c>
      <c r="F22" s="23">
        <f>F18*F20</f>
        <v>625.47506601823432</v>
      </c>
      <c r="G22" s="23"/>
      <c r="H22" s="23"/>
      <c r="I22" s="23"/>
      <c r="J22" s="23">
        <f>J18*J20</f>
        <v>3.3413306746346532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220.16397844902301</v>
      </c>
      <c r="C30" s="39">
        <f>IF(ISERROR(B30*3.6/1000000/'E Balans VL '!Z18*100),0,B30*3.6/1000000/'E Balans VL '!Z18*100)</f>
        <v>1.2477257196070353E-2</v>
      </c>
      <c r="D30" s="233" t="s">
        <v>732</v>
      </c>
    </row>
    <row r="31" spans="1:18">
      <c r="A31" s="6" t="s">
        <v>32</v>
      </c>
      <c r="B31" s="37">
        <f>IF( ISERROR(IND_ander_ele_kWh/1000),0,IND_ander_ele_kWh/1000)</f>
        <v>2193.0138259790301</v>
      </c>
      <c r="C31" s="39">
        <f>IF(ISERROR(B31*3.6/1000000/'E Balans VL '!Z19*100),0,B31*3.6/1000000/'E Balans VL '!Z19*100)</f>
        <v>9.9465975595769293E-2</v>
      </c>
      <c r="D31" s="233" t="s">
        <v>732</v>
      </c>
    </row>
    <row r="32" spans="1:18">
      <c r="A32" s="168" t="s">
        <v>40</v>
      </c>
      <c r="B32" s="37">
        <f>IF( ISERROR(IND_voed_ele_kWh/1000),0,IND_voed_ele_kWh/1000)</f>
        <v>589.57200015848593</v>
      </c>
      <c r="C32" s="39">
        <f>IF(ISERROR(B32*3.6/1000000/'E Balans VL '!Z20*100),0,B32*3.6/1000000/'E Balans VL '!Z20*100)</f>
        <v>1.8238138395796927E-2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2636.5467463892696</v>
      </c>
      <c r="C37" s="39">
        <f>IF(ISERROR(B37*3.6/1000000/'E Balans VL '!Z15*100),0,B37*3.6/1000000/'E Balans VL '!Z15*100)</f>
        <v>2.0897870952487713E-2</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1202.5814994980203</v>
      </c>
      <c r="C5" s="17">
        <f>'Eigen informatie GS &amp; warmtenet'!B60</f>
        <v>0</v>
      </c>
      <c r="D5" s="30">
        <f>IF(ISERROR(SUM(LB_lb_gas_kWh,LB_rest_gas_kWh)/1000),0,SUM(LB_lb_gas_kWh,LB_rest_gas_kWh)/1000)*0.902</f>
        <v>159.20014068686174</v>
      </c>
      <c r="E5" s="17">
        <f>B17*'E Balans VL '!I25/3.6*1000000/100</f>
        <v>35.347543378101889</v>
      </c>
      <c r="F5" s="17">
        <f>B17*('E Balans VL '!L25/3.6*1000000+'E Balans VL '!N25/3.6*1000000)/100</f>
        <v>5009.8895428153828</v>
      </c>
      <c r="G5" s="18"/>
      <c r="H5" s="17"/>
      <c r="I5" s="17"/>
      <c r="J5" s="17">
        <f>('E Balans VL '!D25+'E Balans VL '!E25)/3.6*1000000*landbouw!B17/100</f>
        <v>174.22823354393716</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1202.5814994980203</v>
      </c>
      <c r="C8" s="21">
        <f>C5+C6</f>
        <v>0</v>
      </c>
      <c r="D8" s="21">
        <f>MAX((D5+D6),0)</f>
        <v>159.20014068686174</v>
      </c>
      <c r="E8" s="21">
        <f>MAX((E5+E6),0)</f>
        <v>35.347543378101889</v>
      </c>
      <c r="F8" s="21">
        <f>MAX((F5+F6),0)</f>
        <v>5009.8895428153828</v>
      </c>
      <c r="G8" s="21"/>
      <c r="H8" s="21"/>
      <c r="I8" s="21"/>
      <c r="J8" s="21">
        <f>MAX((J5+J6),0)</f>
        <v>174.22823354393716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0.21650426229248726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260.36402039541201</v>
      </c>
      <c r="C12" s="23">
        <f ca="1">C8*C10</f>
        <v>0</v>
      </c>
      <c r="D12" s="23">
        <f>D8*D10</f>
        <v>32.158428418746077</v>
      </c>
      <c r="E12" s="23">
        <f>E8*E10</f>
        <v>8.023892346829129</v>
      </c>
      <c r="F12" s="23">
        <f>F8*F10</f>
        <v>1337.6405079317074</v>
      </c>
      <c r="G12" s="23"/>
      <c r="H12" s="23"/>
      <c r="I12" s="23"/>
      <c r="J12" s="23">
        <f>J8*J10</f>
        <v>61.676794674553754</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0.17065008776315946</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287.96476737779392</v>
      </c>
      <c r="C26" s="243">
        <f>B26*'GWP N2O_CH4'!B5</f>
        <v>6047.2601149336724</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96.807933964431385</v>
      </c>
      <c r="C27" s="243">
        <f>B27*'GWP N2O_CH4'!B5</f>
        <v>2032.966613253059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4.1688883894033326</v>
      </c>
      <c r="C28" s="243">
        <f>B28*'GWP N2O_CH4'!B4</f>
        <v>1292.3554007150331</v>
      </c>
      <c r="D28" s="50"/>
    </row>
    <row r="29" spans="1:4">
      <c r="A29" s="41" t="s">
        <v>271</v>
      </c>
      <c r="B29" s="243">
        <f>B34*'ha_N2O bodem landbouw'!B4</f>
        <v>12.588404021742948</v>
      </c>
      <c r="C29" s="243">
        <f>B29*'GWP N2O_CH4'!B4</f>
        <v>3902.4052467403139</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2.8726304161915623E-3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2.2739508396008267E-4</v>
      </c>
      <c r="C5" s="431" t="s">
        <v>210</v>
      </c>
      <c r="D5" s="416">
        <f>SUM(D6:D11)</f>
        <v>3.39363919018435E-4</v>
      </c>
      <c r="E5" s="416">
        <f>SUM(E6:E11)</f>
        <v>6.5648867416267815E-4</v>
      </c>
      <c r="F5" s="429" t="s">
        <v>210</v>
      </c>
      <c r="G5" s="416">
        <f>SUM(G6:G11)</f>
        <v>0.3891772808034859</v>
      </c>
      <c r="H5" s="416">
        <f>SUM(H6:H11)</f>
        <v>5.5871224500140669E-2</v>
      </c>
      <c r="I5" s="431" t="s">
        <v>210</v>
      </c>
      <c r="J5" s="431" t="s">
        <v>210</v>
      </c>
      <c r="K5" s="431" t="s">
        <v>210</v>
      </c>
      <c r="L5" s="431" t="s">
        <v>210</v>
      </c>
      <c r="M5" s="416">
        <f>SUM(M6:M11)</f>
        <v>2.4382670307243018E-2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9.1536474393897685E-5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1.5388891008161944E-4</v>
      </c>
      <c r="E6" s="859">
        <f>vkm_GW_PW*SUMIFS(TableVerdeelsleutelVkm[LPG],TableVerdeelsleutelVkm[Voertuigtype],"Lichte voertuigen")*SUMIFS(TableECFTransport[EnergieConsumptieFactor (PJ per km)],TableECFTransport[Index],CONCATENATE($A6,"_LPG_LPG"))</f>
        <v>2.707688556240639E-4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8.0336335493305669E-2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2.4862846756728053E-2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5.4256684917156524E-3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1.7060264013998809E-6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5.4798282160367737E-2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8.9406612467004635E-7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3.2016194383447639E-3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1.1604968458585012E-5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2.5016105331423016E-5</v>
      </c>
      <c r="E8" s="419">
        <f>vkm_NGW_PW*SUMIFS(TableVerdeelsleutelVkm[LPG],TableVerdeelsleutelVkm[Voertuigtype],"Lichte voertuigen")*SUMIFS(TableECFTransport[EnergieConsumptieFactor (PJ per km)],TableECFTransport[Index],CONCATENATE($A8,"_LPG_LPG"))</f>
        <v>4.2149308336037169E-5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1.1629386288460416E-2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3.9585923142572274E-3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7.9599667524552029E-4</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4.5768558342722894E-8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1.8862423693152875E-3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2.8951266795352745E-8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1.1020468259844255E-4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1.1768902711039426E-4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1.6045890360539254E-4</v>
      </c>
      <c r="E10" s="419">
        <f>vkm_SW_PW*SUMIFS(TableVerdeelsleutelVkm[LPG],TableVerdeelsleutelVkm[Voertuigtype],"Lichte voertuigen")*SUMIFS(TableECFTransport[EnergieConsumptieFactor (PJ per km)],TableECFTransport[Index],CONCATENATE($A10,"_LPG_LPG"))</f>
        <v>3.4357051020257704E-4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9.3282836168372615E-2</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2.7046266356913012E-2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6.246352948304534E-3</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4.812819037463135E-6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0.14724419832366417</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2.5960548509126877E-6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8.6028280710341038E-3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63.165301100022965</v>
      </c>
      <c r="C14" s="21"/>
      <c r="D14" s="21">
        <f t="shared" ref="D14:M14" si="0">((D5)*10^9/3600)+D12</f>
        <v>94.267755282898605</v>
      </c>
      <c r="E14" s="21">
        <f t="shared" si="0"/>
        <v>182.35796504518839</v>
      </c>
      <c r="F14" s="21"/>
      <c r="G14" s="21">
        <f t="shared" si="0"/>
        <v>108104.80022319054</v>
      </c>
      <c r="H14" s="21">
        <f t="shared" si="0"/>
        <v>15519.784583372408</v>
      </c>
      <c r="I14" s="21"/>
      <c r="J14" s="21"/>
      <c r="K14" s="21"/>
      <c r="L14" s="21"/>
      <c r="M14" s="21">
        <f t="shared" si="0"/>
        <v>6772.9639742341724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0.21650426229248726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13.675556917143306</v>
      </c>
      <c r="C18" s="23"/>
      <c r="D18" s="23">
        <f t="shared" ref="D18:M18" si="1">D14*D16</f>
        <v>19.042086567145521</v>
      </c>
      <c r="E18" s="23">
        <f t="shared" si="1"/>
        <v>41.395258065257764</v>
      </c>
      <c r="F18" s="23"/>
      <c r="G18" s="23">
        <f t="shared" si="1"/>
        <v>28863.981659591875</v>
      </c>
      <c r="H18" s="23">
        <f t="shared" si="1"/>
        <v>3864.4263612597297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3.0005174753745573E-3</v>
      </c>
      <c r="C50" s="313">
        <f t="shared" ref="C50:P50" si="2">SUM(C51:C52)</f>
        <v>0</v>
      </c>
      <c r="D50" s="313">
        <f t="shared" si="2"/>
        <v>0</v>
      </c>
      <c r="E50" s="313">
        <f t="shared" si="2"/>
        <v>0</v>
      </c>
      <c r="F50" s="313">
        <f t="shared" si="2"/>
        <v>0</v>
      </c>
      <c r="G50" s="313">
        <f t="shared" si="2"/>
        <v>2.2916892794657934E-3</v>
      </c>
      <c r="H50" s="313">
        <f t="shared" si="2"/>
        <v>0</v>
      </c>
      <c r="I50" s="313">
        <f t="shared" si="2"/>
        <v>0</v>
      </c>
      <c r="J50" s="313">
        <f t="shared" si="2"/>
        <v>0</v>
      </c>
      <c r="K50" s="313">
        <f t="shared" si="2"/>
        <v>0</v>
      </c>
      <c r="L50" s="313">
        <f t="shared" si="2"/>
        <v>0</v>
      </c>
      <c r="M50" s="313">
        <f t="shared" si="2"/>
        <v>1.3197150477064687E-4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2.4395225374557534E-5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2.2916892794657934E-3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1.3197150477064687E-4</v>
      </c>
      <c r="N51" s="315"/>
      <c r="O51" s="315"/>
      <c r="P51" s="318"/>
    </row>
    <row r="52" spans="1:18">
      <c r="A52" s="4" t="s">
        <v>323</v>
      </c>
      <c r="B52" s="860">
        <f>vkm_tram*SUMIFS(TableECFTransport[EnergieConsumptieFactor (PJ per km)],TableECFTransport[Index],"Tram_gemiddeld_Electric_Electric")</f>
        <v>2.9761222499999998E-3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833.4770764929325</v>
      </c>
      <c r="C54" s="21">
        <f t="shared" ref="C54:P54" si="3">(C50)*10^9/3600</f>
        <v>0</v>
      </c>
      <c r="D54" s="21">
        <f t="shared" si="3"/>
        <v>0</v>
      </c>
      <c r="E54" s="21">
        <f t="shared" si="3"/>
        <v>0</v>
      </c>
      <c r="F54" s="21">
        <f t="shared" si="3"/>
        <v>0</v>
      </c>
      <c r="G54" s="21">
        <f t="shared" si="3"/>
        <v>636.5803554071648</v>
      </c>
      <c r="H54" s="21">
        <f t="shared" si="3"/>
        <v>0</v>
      </c>
      <c r="I54" s="21">
        <f t="shared" si="3"/>
        <v>0</v>
      </c>
      <c r="J54" s="21">
        <f t="shared" si="3"/>
        <v>0</v>
      </c>
      <c r="K54" s="21">
        <f t="shared" si="3"/>
        <v>0</v>
      </c>
      <c r="L54" s="21">
        <f t="shared" si="3"/>
        <v>0</v>
      </c>
      <c r="M54" s="21">
        <f t="shared" si="3"/>
        <v>36.658751325179686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0.21650426229248726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180.45133958380131</v>
      </c>
      <c r="C58" s="23">
        <f t="shared" ref="C58:P58" ca="1" si="4">C54*C56</f>
        <v>0</v>
      </c>
      <c r="D58" s="23">
        <f t="shared" si="4"/>
        <v>0</v>
      </c>
      <c r="E58" s="23">
        <f t="shared" si="4"/>
        <v>0</v>
      </c>
      <c r="F58" s="23">
        <f t="shared" si="4"/>
        <v>0</v>
      </c>
      <c r="G58" s="23">
        <f t="shared" si="4"/>
        <v>169.96695489371302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1670.1821007234023</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1670.1821007234023</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2021-06-29T15:42:53Z</dcterms:modified>
</cp:coreProperties>
</file>