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L6" i="17" s="1"/>
  <c r="T33" i="18"/>
  <c r="S33" i="18"/>
  <c r="R33" i="18"/>
  <c r="Q33" i="18"/>
  <c r="P33" i="18"/>
  <c r="O33" i="18"/>
  <c r="N33" i="18"/>
  <c r="M33" i="18"/>
  <c r="W32" i="18"/>
  <c r="V32" i="18"/>
  <c r="U32" i="18"/>
  <c r="T32" i="18"/>
  <c r="S32" i="18"/>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6" i="18"/>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<sst xmlns="http://schemas.openxmlformats.org/spreadsheetml/2006/main" count="2494" uniqueCount="911">
  <si>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</si>
  <si>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</si>
  <si>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</si>
  <si>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</si>
  <si>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</si>
  <si>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</si>
  <si>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</si>
  <si>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</si>
  <si>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</si>
  <si>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</si>
  <si>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</si>
  <si>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</si>
  <si>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</si>
  <si>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</si>
  <si>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</si>
  <si>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</si>
  <si>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</si>
  <si>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</si>
  <si>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</si>
  <si>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</si>
  <si>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</si>
  <si>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</si>
  <si>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</si>
  <si>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</si>
  <si>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</si>
  <si>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</si>
  <si>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</si>
  <si>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</si>
  <si>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</si>
  <si>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</si>
  <si>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</si>
  <si>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</si>
  <si>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</si>
  <si>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</si>
  <si>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</si>
  <si>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</si>
  <si>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</si>
  <si>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</si>
  <si>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</si>
  <si>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</si>
  <si>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</si>
  <si>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</si>
  <si>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</si>
  <si>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</si>
  <si>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</si>
  <si>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</si>
  <si>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</si>
  <si>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</si>
  <si>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</si>
  <si>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</si>
  <si>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</si>
  <si>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</si>
  <si>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</si>
  <si>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</si>
  <si>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</si>
  <si>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</si>
  <si>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</si>
  <si>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</si>
  <si>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</si>
  <si>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</si>
  <si>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</si>
  <si>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</si>
  <si>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</si>
  <si>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</si>
  <si>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</si>
  <si>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</si>
  <si>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</si>
  <si>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</si>
  <si>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</si>
  <si>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</si>
  <si>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</si>
  <si>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</si>
  <si>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</si>
  <si>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</si>
  <si>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</si>
  <si>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</si>
  <si>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</si>
  <si>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</si>
  <si>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</si>
  <si>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</si>
  <si>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</si>
  <si>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</si>
  <si>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</si>
  <si>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</si>
  <si>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</si>
  <si>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</si>
  <si>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</si>
  <si>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</si>
  <si>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</si>
  <si>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</si>
  <si>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</si>
  <si>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</si>
  <si>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</si>
  <si>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</si>
  <si>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</si>
  <si>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</si>
  <si>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</si>
  <si>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</si>
  <si>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</si>
  <si>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</si>
  <si>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</si>
  <si>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</si>
  <si>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</si>
  <si>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</si>
  <si>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</si>
  <si>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</si>
  <si>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</si>
  <si>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</si>
  <si>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</si>
  <si>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</si>
  <si>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</si>
  <si>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</si>
  <si>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</si>
  <si>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</si>
  <si>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</si>
  <si>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</si>
  <si>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</si>
  <si>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</si>
  <si>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</si>
  <si>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</si>
  <si>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</si>
  <si>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</si>
  <si>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</si>
  <si>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</si>
  <si>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</si>
  <si>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</si>
  <si>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</si>
  <si>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</si>
  <si>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</si>
  <si>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</si>
  <si>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</si>
  <si>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</si>
  <si>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</si>
  <si>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</si>
  <si>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</si>
  <si>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</si>
  <si>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</si>
  <si>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</si>
  <si>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</si>
  <si>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</si>
  <si>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</si>
  <si>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</si>
  <si>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</si>
  <si>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</si>
  <si>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</si>
  <si>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</si>
  <si>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</si>
  <si>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</si>
  <si>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</si>
  <si>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</si>
  <si>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</si>
  <si>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</si>
  <si>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</si>
  <si>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</si>
  <si>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</si>
  <si>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</si>
  <si>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</si>
  <si>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</si>
  <si>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</si>
  <si>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</si>
  <si>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</si>
  <si>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</si>
  <si>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</si>
  <si>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</si>
  <si>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</si>
  <si>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</si>
  <si>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</si>
  <si>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</si>
  <si>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</si>
  <si>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</si>
  <si>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</si>
  <si>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</si>
  <si>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</si>
  <si>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</si>
  <si>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</si>
  <si>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</si>
  <si>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</si>
  <si>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</si>
  <si>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</si>
  <si>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</si>
  <si>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</si>
  <si>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</si>
  <si>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</si>
  <si>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</si>
  <si>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</si>
  <si>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</si>
  <si>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</si>
  <si>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</si>
  <si>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</si>
  <si>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</si>
  <si>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</si>
  <si>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</si>
  <si>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</si>
  <si>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</si>
  <si>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</si>
  <si>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</si>
  <si>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</si>
  <si>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</si>
  <si>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</si>
  <si>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</si>
  <si>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</si>
  <si>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</si>
  <si>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</si>
  <si>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</si>
  <si>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</si>
  <si>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</si>
  <si>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</si>
  <si>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</si>
  <si>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</si>
  <si>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</si>
  <si>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</si>
  <si>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</si>
  <si>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</si>
  <si>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</si>
  <si>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</si>
  <si>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</si>
  <si>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</si>
  <si>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</si>
  <si>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</si>
  <si>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</si>
  <si>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</si>
  <si>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</si>
  <si>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</si>
  <si>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</si>
  <si>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</si>
  <si>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</si>
  <si>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</si>
  <si>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</si>
  <si>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</si>
  <si>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</si>
  <si>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</si>
  <si>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</si>
  <si>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</si>
  <si>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</si>
  <si>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</si>
  <si>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</si>
  <si>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</si>
  <si>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</si>
  <si>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</si>
  <si>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</si>
  <si>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</si>
  <si>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</si>
  <si>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</si>
  <si>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</si>
  <si>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</si>
  <si>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</si>
  <si>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</si>
  <si>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</si>
  <si>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</si>
  <si>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</si>
  <si>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</si>
  <si>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</si>
  <si>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</si>
  <si>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</si>
  <si>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</si>
  <si>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</si>
  <si>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</si>
  <si>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</si>
  <si>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</si>
  <si>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</si>
  <si>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</si>
  <si>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</si>
  <si>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</si>
  <si>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</si>
  <si>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</si>
  <si>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</si>
  <si>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</si>
  <si>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</si>
  <si>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</si>
  <si>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</si>
  <si>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</si>
  <si>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</si>
  <si>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</si>
  <si>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</si>
  <si>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</si>
  <si>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</si>
  <si>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</si>
  <si>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</si>
  <si>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</si>
  <si>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</si>
  <si>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</si>
  <si>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</si>
  <si>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</si>
  <si>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</si>
  <si>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</si>
  <si>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</si>
  <si>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</si>
  <si>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</si>
  <si>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</si>
  <si>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</si>
  <si>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</si>
  <si>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</si>
  <si>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</si>
  <si>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</si>
  <si>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</si>
  <si>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</si>
  <si>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</si>
  <si>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</si>
  <si>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</si>
  <si>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</si>
  <si>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</si>
  <si>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</si>
  <si>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</si>
  <si>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</si>
  <si>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</si>
  <si>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</si>
  <si>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</si>
  <si>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</si>
  <si>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</si>
  <si>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</si>
  <si>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</si>
  <si>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</si>
  <si>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</si>
  <si>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</si>
  <si>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</si>
  <si>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</si>
  <si>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</si>
  <si>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</si>
  <si>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</si>
  <si>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</si>
  <si>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</si>
  <si>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</si>
  <si>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</si>
  <si>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</si>
  <si>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</si>
  <si>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</si>
  <si>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</si>
  <si>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</si>
  <si>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</si>
  <si>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</si>
  <si>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</si>
  <si>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</si>
  <si>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</si>
  <si>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</si>
  <si>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</si>
  <si>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</si>
  <si>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</si>
  <si>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</si>
  <si>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</si>
  <si>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</si>
  <si>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</si>
  <si>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</si>
  <si>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</si>
  <si>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</si>
  <si>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</si>
  <si>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</si>
  <si>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</si>
  <si>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</si>
  <si>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</si>
  <si>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</si>
  <si>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</si>
  <si>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</si>
  <si>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</si>
  <si>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</si>
  <si>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</si>
  <si>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</si>
  <si>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</si>
  <si>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</si>
  <si>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</si>
  <si>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</si>
  <si>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</si>
  <si>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</si>
  <si>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</si>
  <si>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</si>
  <si>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</si>
  <si>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</si>
  <si>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</si>
  <si>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</si>
  <si>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</si>
  <si>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</si>
  <si>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</si>
  <si>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</si>
  <si>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</si>
  <si>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</si>
  <si>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</si>
  <si>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</si>
  <si>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</si>
  <si>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</si>
  <si>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</si>
  <si>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</si>
  <si>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</si>
  <si>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</si>
  <si>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</si>
  <si>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</si>
  <si>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</si>
  <si>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</si>
  <si>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</si>
  <si>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</si>
  <si>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</si>
  <si>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</si>
  <si>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</si>
  <si>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</si>
  <si>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</si>
  <si>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</si>
  <si>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</si>
  <si>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</si>
  <si>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</si>
  <si>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</si>
  <si>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</si>
  <si>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</si>
  <si>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</si>
  <si>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</si>
  <si>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</si>
  <si>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</si>
  <si>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</si>
  <si>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</si>
  <si>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</si>
  <si>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</si>
  <si>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</si>
  <si>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</si>
  <si>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</si>
  <si>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</si>
  <si>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</si>
  <si>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</si>
  <si>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</si>
  <si>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</si>
  <si>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</si>
  <si>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</si>
  <si>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</si>
  <si>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</si>
  <si>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</si>
  <si>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</si>
  <si>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</si>
  <si>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</si>
  <si>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</si>
  <si>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</si>
  <si>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</si>
  <si>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</si>
  <si>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</si>
  <si>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</si>
  <si>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</si>
  <si>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</si>
  <si>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</si>
  <si>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</si>
  <si>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</si>
  <si>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</si>
  <si>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</si>
  <si>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</si>
  <si>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</si>
  <si>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</si>
  <si>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</si>
  <si>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</si>
  <si>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</si>
  <si>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</si>
  <si>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</si>
  <si>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</si>
  <si>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</si>
  <si>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</si>
  <si>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</si>
  <si>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</si>
  <si>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</si>
  <si>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</si>
  <si>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</si>
  <si>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</si>
  <si>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</si>
  <si>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</si>
  <si>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</si>
  <si>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</si>
  <si>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</si>
  <si>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</si>
  <si>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</si>
  <si>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</si>
  <si>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</si>
  <si>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</si>
  <si>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</si>
  <si>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</si>
  <si>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</si>
  <si>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</si>
  <si>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</si>
  <si>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</si>
  <si>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</si>
  <si>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</si>
  <si>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</si>
  <si>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</si>
  <si>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</si>
  <si>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</si>
  <si>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</si>
  <si>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</si>
  <si>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</si>
  <si>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</si>
  <si>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</si>
  <si>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</si>
  <si>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</si>
  <si>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</si>
  <si>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</si>
  <si>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</si>
  <si>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</si>
  <si>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</si>
  <si>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</si>
  <si>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</si>
  <si>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</si>
  <si>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</si>
  <si>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</si>
  <si>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</si>
  <si>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</si>
  <si>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</si>
  <si>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</si>
  <si>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</si>
  <si>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</si>
  <si>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</si>
  <si>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</si>
  <si>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</si>
  <si>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</si>
  <si>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</si>
  <si>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</si>
  <si>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</si>
  <si>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</si>
  <si>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</si>
  <si>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</si>
  <si>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</si>
  <si>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</si>
  <si>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</si>
  <si>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</si>
  <si>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</si>
  <si>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</si>
  <si>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</si>
  <si>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</si>
  <si>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</si>
  <si>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</si>
  <si>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</si>
  <si>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</si>
  <si>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</si>
  <si>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</si>
  <si>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</si>
  <si>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</si>
  <si>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</si>
  <si>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</si>
  <si>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</si>
  <si>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</si>
  <si>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</si>
  <si>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</si>
  <si>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</si>
  <si>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</si>
  <si>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</si>
  <si>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</si>
  <si>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</si>
  <si>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</si>
  <si>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</si>
  <si>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</si>
  <si>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</si>
  <si>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</si>
  <si>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</si>
  <si>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</si>
  <si>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</si>
  <si>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</si>
  <si>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</si>
  <si>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</si>
  <si>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</si>
  <si>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</si>
  <si>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</si>
  <si>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</si>
  <si>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</si>
  <si>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</si>
  <si>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</si>
  <si>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</si>
  <si>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</si>
  <si>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</si>
  <si>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</si>
  <si>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</si>
  <si>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</si>
  <si>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</si>
  <si>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</si>
  <si>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</si>
  <si>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</si>
  <si>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</si>
  <si>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</si>
  <si>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</si>
  <si>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</si>
  <si>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</si>
  <si>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</si>
  <si>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</si>
  <si>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</si>
  <si>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</si>
  <si>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</si>
  <si>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</si>
  <si>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</si>
  <si>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</si>
  <si>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</si>
  <si>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</si>
  <si>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</si>
  <si>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</si>
  <si>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</si>
  <si>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</si>
  <si>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</si>
  <si>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</si>
  <si>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</si>
  <si>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</si>
  <si>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</si>
  <si>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</si>
  <si>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</si>
  <si>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</si>
  <si>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</si>
  <si>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</si>
  <si>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</si>
  <si>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</si>
  <si>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</si>
  <si>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</si>
  <si>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</si>
  <si>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</si>
  <si>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</si>
  <si>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</si>
  <si>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</si>
  <si>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</si>
  <si>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</si>
  <si>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</si>
  <si>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</si>
  <si>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</si>
  <si>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</si>
  <si>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</si>
  <si>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</si>
  <si>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</si>
  <si>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</si>
  <si>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</si>
  <si>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</si>
  <si>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</si>
  <si>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</si>
  <si>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</si>
  <si>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</si>
  <si>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</si>
  <si>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</si>
  <si>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</si>
  <si>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</si>
  <si>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</si>
  <si>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</si>
  <si>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</si>
  <si>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</si>
  <si>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</si>
  <si>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</si>
  <si>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</si>
  <si>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</si>
  <si>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</si>
  <si>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</si>
  <si>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</si>
  <si>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</si>
  <si>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</si>
  <si>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</si>
  <si>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</si>
  <si>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</si>
  <si>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</si>
  <si>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</si>
  <si>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</si>
  <si>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</si>
  <si>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</si>
  <si>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</si>
  <si>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</si>
  <si>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</si>
  <si>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</si>
  <si>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</si>
  <si>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</si>
  <si>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</si>
  <si>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</si>
  <si>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</si>
  <si>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</si>
  <si>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</si>
  <si>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</si>
  <si>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</si>
  <si>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</si>
  <si>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</si>
  <si>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</si>
  <si>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</si>
  <si>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</si>
  <si>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</si>
  <si>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</si>
  <si>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</si>
  <si>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</si>
  <si>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</si>
  <si>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</si>
  <si>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</si>
  <si>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</si>
  <si>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</si>
  <si>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</si>
  <si>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</si>
  <si>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</si>
  <si>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</si>
  <si>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</si>
  <si>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</si>
  <si>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</si>
  <si>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</si>
  <si>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</si>
  <si>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</si>
  <si>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</si>
  <si>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</si>
  <si>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</si>
  <si>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</si>
  <si>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</si>
  <si>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</si>
  <si>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</si>
  <si>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</si>
  <si>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</si>
  <si>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</si>
  <si>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</si>
  <si>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</si>
  <si>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</si>
  <si>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</si>
  <si>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</si>
  <si>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</si>
  <si>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</si>
  <si>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</si>
  <si>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</si>
  <si>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</si>
  <si>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</si>
  <si>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</si>
  <si>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</si>
  <si>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</si>
  <si>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</si>
  <si>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</si>
  <si>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</si>
  <si>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</si>
  <si>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</si>
  <si>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</si>
  <si>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</si>
  <si>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</si>
  <si>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</si>
  <si>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</si>
  <si>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</si>
  <si>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</si>
  <si>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</si>
  <si>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</si>
  <si>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</si>
  <si>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</si>
  <si>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</si>
  <si>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</si>
  <si>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</si>
  <si>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</si>
  <si>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</si>
  <si>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</si>
  <si>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</si>
  <si>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</si>
  <si>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</si>
  <si>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</si>
  <si>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</si>
  <si>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</si>
  <si>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</si>
  <si>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</si>
  <si>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</si>
  <si>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</si>
  <si>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</si>
  <si>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</si>
  <si>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</si>
  <si>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</si>
  <si>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</si>
  <si>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</si>
  <si>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</si>
  <si>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</si>
  <si>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</si>
  <si>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</si>
  <si>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</si>
  <si>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</si>
  <si>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</si>
  <si>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</si>
  <si>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</si>
  <si>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</si>
  <si>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</si>
  <si>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</si>
  <si>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</si>
  <si>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</si>
  <si>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</si>
  <si>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</si>
  <si>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</si>
  <si>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</si>
  <si>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</si>
  <si>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</si>
  <si>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</si>
  <si>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</si>
  <si>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</si>
  <si>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</si>
  <si>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</si>
  <si>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</si>
  <si>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</si>
  <si>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</si>
  <si>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</si>
  <si>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</si>
  <si>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</si>
  <si>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</si>
  <si>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</si>
  <si>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</si>
  <si>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</si>
  <si>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</si>
  <si>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</si>
  <si>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</si>
  <si>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</si>
  <si>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</si>
  <si>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</si>
  <si>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</si>
  <si>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</si>
  <si>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</si>
  <si>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</si>
  <si>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</si>
  <si>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</si>
  <si>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</si>
  <si>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</si>
  <si>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</si>
  <si>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</si>
  <si>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</si>
  <si>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</si>
  <si>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</si>
  <si>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</si>
  <si>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</si>
  <si>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</si>
  <si>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</si>
  <si>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</si>
  <si>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</si>
  <si>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</si>
  <si>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</si>
  <si>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</si>
  <si>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</si>
  <si>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</si>
  <si>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</si>
  <si>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</si>
  <si>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</si>
  <si>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</si>
  <si>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</si>
  <si>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</si>
  <si>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</si>
  <si>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</si>
  <si>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</si>
  <si>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</si>
  <si>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</si>
  <si>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</si>
  <si>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</si>
  <si>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</si>
  <si>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</si>
  <si>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</si>
  <si>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</si>
  <si>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</si>
  <si>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</si>
  <si>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</si>
  <si>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</si>
  <si>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</si>
  <si>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</si>
  <si>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</si>
  <si>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</si>
  <si>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</si>
  <si>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</si>
  <si>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</si>
  <si>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</si>
  <si>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</si>
  <si>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</si>
  <si>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</si>
  <si>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</si>
  <si>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</si>
  <si>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</si>
  <si>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</si>
  <si>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</si>
  <si>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</si>
  <si>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</si>
  <si>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</si>
  <si>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</si>
  <si>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</si>
  <si>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</si>
  <si>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</si>
  <si>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</si>
  <si>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</si>
  <si>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</si>
  <si>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</si>
  <si>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</si>
  <si>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</si>
  <si>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</si>
  <si>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</si>
  <si>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</si>
  <si>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</si>
  <si>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</si>
  <si>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</si>
  <si>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</si>
  <si>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</si>
  <si>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</si>
  <si>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</si>
  <si>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</si>
  <si>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</si>
  <si>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</si>
  <si>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</si>
  <si>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</si>
  <si>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</si>
  <si>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</si>
  <si>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</si>
  <si>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</si>
  <si>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</si>
  <si>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</si>
  <si>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</si>
  <si>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</si>
  <si>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</si>
  <si>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</si>
  <si>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</si>
  <si>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</si>
  <si>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</si>
  <si>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</si>
  <si>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</si>
  <si>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</si>
  <si>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</si>
  <si>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</si>
  <si>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</si>
  <si>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</si>
  <si>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</si>
  <si>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</si>
  <si>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</si>
  <si>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</si>
  <si>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</si>
  <si>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</si>
  <si>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36007</t>
  </si>
  <si>
    <t>INGELMUNSTER</t>
  </si>
  <si>
    <t>Fluvius</t>
  </si>
  <si>
    <t>referentietaak LNE (2017); Jaarverslag De Lijn</t>
  </si>
  <si>
    <t>FV Franky &amp; Els Galle Vanackere</t>
  </si>
  <si>
    <t>Veldstraat 1 A, 8770 Ingelmunster</t>
  </si>
  <si>
    <t>WKK-0323 Franky Galle</t>
  </si>
  <si>
    <t>interne verbrandingsmotor</t>
  </si>
  <si>
    <t>WKK interne verbrandinsgmotor (gas)</t>
  </si>
  <si>
    <t>GASELWEST</t>
  </si>
  <si>
    <t>Neegro bvba</t>
  </si>
  <si>
    <t>Oostrozebekestraat 287 a, 8770 Ingelmunster</t>
  </si>
  <si>
    <t>WKK-0363 Neegro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</si>
</sst>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89925.491378900275</c:v>
                </c:pt>
                <c:pt idx="1">
                  <c:v>27040.710714962905</c:v>
                </c:pt>
                <c:pt idx="2">
                  <c:v>807.62599999999998</c:v>
                </c:pt>
                <c:pt idx="3">
                  <c:v>60845.182100716025</c:v>
                </c:pt>
                <c:pt idx="4">
                  <c:v>40360.554278315991</c:v>
                </c:pt>
                <c:pt idx="5">
                  <c:v>64485.057878397645</c:v>
                </c:pt>
                <c:pt idx="6">
                  <c:v>611.22536009927387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89925.491378900275</c:v>
                </c:pt>
                <c:pt idx="1">
                  <c:v>27040.710714962905</c:v>
                </c:pt>
                <c:pt idx="2">
                  <c:v>807.62599999999998</c:v>
                </c:pt>
                <c:pt idx="3">
                  <c:v>60845.182100716025</c:v>
                </c:pt>
                <c:pt idx="4">
                  <c:v>40360.554278315991</c:v>
                </c:pt>
                <c:pt idx="5">
                  <c:v>64485.057878397645</c:v>
                </c:pt>
                <c:pt idx="6">
                  <c:v>611.22536009927387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18425.76930490138</c:v>
                </c:pt>
                <c:pt idx="2">
                  <c:v>5525.9090918710899</c:v>
                </c:pt>
                <c:pt idx="3">
                  <c:v>171.19324571791674</c:v>
                </c:pt>
                <c:pt idx="4">
                  <c:v>14493.110644655035</c:v>
                </c:pt>
                <c:pt idx="5">
                  <c:v>8398.3522472207405</c:v>
                </c:pt>
                <c:pt idx="6">
                  <c:v>16157.696227769338</c:v>
                </c:pt>
                <c:pt idx="7">
                  <c:v>154.06424553649353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18425.76930490138</c:v>
                </c:pt>
                <c:pt idx="2">
                  <c:v>5525.9090918710899</c:v>
                </c:pt>
                <c:pt idx="3">
                  <c:v>171.19324571791674</c:v>
                </c:pt>
                <c:pt idx="4">
                  <c:v>14493.110644655035</c:v>
                </c:pt>
                <c:pt idx="5">
                  <c:v>8398.3522472207405</c:v>
                </c:pt>
                <c:pt idx="6">
                  <c:v>16157.696227769338</c:v>
                </c:pt>
                <c:pt idx="7">
                  <c:v>154.06424553649353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36007</v>
      </c>
      <c r="B6" s="384"/>
      <c r="C6" s="385"/>
    </row>
    <row r="7" spans="1:7" s="382" customFormat="1" ht="15.75" customHeight="1">
      <c r="A7" s="386" t="str">
        <f>txtMunicipality</f>
        <v>INGELMUNSTER</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12516.648572859714</v>
      </c>
      <c r="D10" s="973">
        <f ca="1">tertiair!C16</f>
        <v>0</v>
      </c>
      <c r="E10" s="973">
        <f ca="1">tertiair!D16</f>
        <v>12100.127251704947</v>
      </c>
      <c r="F10" s="973">
        <f>tertiair!E16</f>
        <v>212.78790271737702</v>
      </c>
      <c r="G10" s="973">
        <f ca="1">tertiair!F16</f>
        <v>2065.1717443146158</v>
      </c>
      <c r="H10" s="973">
        <f>tertiair!G16</f>
        <v>0</v>
      </c>
      <c r="I10" s="973">
        <f>tertiair!H16</f>
        <v>0</v>
      </c>
      <c r="J10" s="973">
        <f>tertiair!I16</f>
        <v>0</v>
      </c>
      <c r="K10" s="973">
        <f>tertiair!J16</f>
        <v>2.0078690810235576E-2</v>
      </c>
      <c r="L10" s="973">
        <f>tertiair!K16</f>
        <v>0</v>
      </c>
      <c r="M10" s="973">
        <f ca="1">tertiair!L16</f>
        <v>0</v>
      </c>
      <c r="N10" s="973">
        <f>tertiair!M16</f>
        <v>0</v>
      </c>
      <c r="O10" s="973">
        <f ca="1">tertiair!N16</f>
        <v>815.42449800877387</v>
      </c>
      <c r="P10" s="973">
        <f>tertiair!O16</f>
        <v>4.6900000000000004</v>
      </c>
      <c r="Q10" s="974">
        <f>tertiair!P16</f>
        <v>133.46666666666667</v>
      </c>
      <c r="R10" s="668">
        <f ca="1">SUM(C10:Q10)</f>
        <v>27848.336714962905</v>
      </c>
      <c r="S10" s="67"/>
    </row>
    <row r="11" spans="1:19" s="441" customFormat="1">
      <c r="A11" s="777" t="s">
        <v>219</v>
      </c>
      <c r="B11" s="782"/>
      <c r="C11" s="973">
        <f>huishoudens!B8</f>
        <v>17098.917415394819</v>
      </c>
      <c r="D11" s="973">
        <f>huishoudens!C8</f>
        <v>0</v>
      </c>
      <c r="E11" s="973">
        <f>huishoudens!D8</f>
        <v>41856.350571297888</v>
      </c>
      <c r="F11" s="973">
        <f>huishoudens!E8</f>
        <v>902.13894382699993</v>
      </c>
      <c r="G11" s="973">
        <f>huishoudens!F8</f>
        <v>22856.156981594479</v>
      </c>
      <c r="H11" s="973">
        <f>huishoudens!G8</f>
        <v>0</v>
      </c>
      <c r="I11" s="973">
        <f>huishoudens!H8</f>
        <v>0</v>
      </c>
      <c r="J11" s="973">
        <f>huishoudens!I8</f>
        <v>0</v>
      </c>
      <c r="K11" s="973">
        <f>huishoudens!J8</f>
        <v>109.98126313569458</v>
      </c>
      <c r="L11" s="973">
        <f>huishoudens!K8</f>
        <v>0</v>
      </c>
      <c r="M11" s="973">
        <f>huishoudens!L8</f>
        <v>0</v>
      </c>
      <c r="N11" s="973">
        <f>huishoudens!M8</f>
        <v>0</v>
      </c>
      <c r="O11" s="973">
        <f>huishoudens!N8</f>
        <v>6481.4228703170666</v>
      </c>
      <c r="P11" s="973">
        <f>huishoudens!O8</f>
        <v>239.19000000000003</v>
      </c>
      <c r="Q11" s="974">
        <f>huishoudens!P8</f>
        <v>381.33333333333337</v>
      </c>
      <c r="R11" s="668">
        <f>SUM(C11:Q11)</f>
        <v>89925.491378900275</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18516.951471148026</v>
      </c>
      <c r="D13" s="973">
        <f>industrie!C18</f>
        <v>0</v>
      </c>
      <c r="E13" s="973">
        <f>industrie!D18</f>
        <v>14886.200694542422</v>
      </c>
      <c r="F13" s="973">
        <f>industrie!E18</f>
        <v>1277.3159906220922</v>
      </c>
      <c r="G13" s="973">
        <f>industrie!F18</f>
        <v>4356.1178902702777</v>
      </c>
      <c r="H13" s="973">
        <f>industrie!G18</f>
        <v>0</v>
      </c>
      <c r="I13" s="973">
        <f>industrie!H18</f>
        <v>0</v>
      </c>
      <c r="J13" s="973">
        <f>industrie!I18</f>
        <v>0</v>
      </c>
      <c r="K13" s="973">
        <f>industrie!J18</f>
        <v>37.428855195325347</v>
      </c>
      <c r="L13" s="973">
        <f>industrie!K18</f>
        <v>0</v>
      </c>
      <c r="M13" s="973">
        <f>industrie!L18</f>
        <v>0</v>
      </c>
      <c r="N13" s="973">
        <f>industrie!M18</f>
        <v>0</v>
      </c>
      <c r="O13" s="973">
        <f>industrie!N18</f>
        <v>1286.5393765378435</v>
      </c>
      <c r="P13" s="973">
        <f>industrie!O18</f>
        <v>0</v>
      </c>
      <c r="Q13" s="974">
        <f>industrie!P18</f>
        <v>0</v>
      </c>
      <c r="R13" s="668">
        <f>SUM(C13:Q13)</f>
        <v>40360.554278315991</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48132.517459402559</v>
      </c>
      <c r="D16" s="700">
        <f t="shared" ref="D16:R16" ca="1" si="0">SUM(D9:D15)</f>
        <v>0</v>
      </c>
      <c r="E16" s="700">
        <f t="shared" ca="1" si="0"/>
        <v>68842.678517545253</v>
      </c>
      <c r="F16" s="700">
        <f t="shared" si="0"/>
        <v>2392.2428371664691</v>
      </c>
      <c r="G16" s="700">
        <f t="shared" ca="1" si="0"/>
        <v>29277.446616179372</v>
      </c>
      <c r="H16" s="700">
        <f t="shared" si="0"/>
        <v>0</v>
      </c>
      <c r="I16" s="700">
        <f t="shared" si="0"/>
        <v>0</v>
      </c>
      <c r="J16" s="700">
        <f t="shared" si="0"/>
        <v>0</v>
      </c>
      <c r="K16" s="700">
        <f t="shared" si="0"/>
        <v>147.43019702183017</v>
      </c>
      <c r="L16" s="700">
        <f t="shared" si="0"/>
        <v>0</v>
      </c>
      <c r="M16" s="700">
        <f t="shared" ca="1" si="0"/>
        <v>0</v>
      </c>
      <c r="N16" s="700">
        <f t="shared" si="0"/>
        <v>0</v>
      </c>
      <c r="O16" s="700">
        <f t="shared" ca="1" si="0"/>
        <v>8583.3867448636847</v>
      </c>
      <c r="P16" s="700">
        <f t="shared" si="0"/>
        <v>243.88000000000002</v>
      </c>
      <c r="Q16" s="700">
        <f t="shared" si="0"/>
        <v>514.80000000000007</v>
      </c>
      <c r="R16" s="700">
        <f t="shared" ca="1" si="0"/>
        <v>158134.38237217919</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6.0909474112221256</v>
      </c>
      <c r="D19" s="973">
        <f>transport!C54</f>
        <v>0</v>
      </c>
      <c r="E19" s="973">
        <f>transport!D54</f>
        <v>0</v>
      </c>
      <c r="F19" s="973">
        <f>transport!E54</f>
        <v>0</v>
      </c>
      <c r="G19" s="973">
        <f>transport!F54</f>
        <v>0</v>
      </c>
      <c r="H19" s="973">
        <f>transport!G54</f>
        <v>572.18405117279394</v>
      </c>
      <c r="I19" s="973">
        <f>transport!H54</f>
        <v>0</v>
      </c>
      <c r="J19" s="973">
        <f>transport!I54</f>
        <v>0</v>
      </c>
      <c r="K19" s="973">
        <f>transport!J54</f>
        <v>0</v>
      </c>
      <c r="L19" s="973">
        <f>transport!K54</f>
        <v>0</v>
      </c>
      <c r="M19" s="973">
        <f>transport!L54</f>
        <v>0</v>
      </c>
      <c r="N19" s="973">
        <f>transport!M54</f>
        <v>32.950361515257754</v>
      </c>
      <c r="O19" s="973">
        <f>transport!N54</f>
        <v>0</v>
      </c>
      <c r="P19" s="973">
        <f>transport!O54</f>
        <v>0</v>
      </c>
      <c r="Q19" s="974">
        <f>transport!P54</f>
        <v>0</v>
      </c>
      <c r="R19" s="668">
        <f>SUM(C19:Q19)</f>
        <v>611.22536009927387</v>
      </c>
      <c r="S19" s="67"/>
    </row>
    <row r="20" spans="1:19" s="441" customFormat="1">
      <c r="A20" s="777" t="s">
        <v>301</v>
      </c>
      <c r="B20" s="782"/>
      <c r="C20" s="973">
        <f>transport!B14</f>
        <v>34.17410022395994</v>
      </c>
      <c r="D20" s="973">
        <f>transport!C14</f>
        <v>0</v>
      </c>
      <c r="E20" s="973">
        <f>transport!D14</f>
        <v>59.604032894295052</v>
      </c>
      <c r="F20" s="973">
        <f>transport!E14</f>
        <v>103.77927412771085</v>
      </c>
      <c r="G20" s="973">
        <f>transport!F14</f>
        <v>0</v>
      </c>
      <c r="H20" s="973">
        <f>transport!G14</f>
        <v>51419.740434465406</v>
      </c>
      <c r="I20" s="973">
        <f>transport!H14</f>
        <v>9581.4606650860478</v>
      </c>
      <c r="J20" s="973">
        <f>transport!I14</f>
        <v>0</v>
      </c>
      <c r="K20" s="973">
        <f>transport!J14</f>
        <v>0</v>
      </c>
      <c r="L20" s="973">
        <f>transport!K14</f>
        <v>0</v>
      </c>
      <c r="M20" s="973">
        <f>transport!L14</f>
        <v>0</v>
      </c>
      <c r="N20" s="973">
        <f>transport!M14</f>
        <v>3286.2993716002338</v>
      </c>
      <c r="O20" s="973">
        <f>transport!N14</f>
        <v>0</v>
      </c>
      <c r="P20" s="973">
        <f>transport!O14</f>
        <v>0</v>
      </c>
      <c r="Q20" s="974">
        <f>transport!P14</f>
        <v>0</v>
      </c>
      <c r="R20" s="668">
        <f>SUM(C20:Q20)</f>
        <v>64485.057878397645</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40.265047635182064</v>
      </c>
      <c r="D22" s="780">
        <f t="shared" ref="D22:R22" si="1">SUM(D18:D21)</f>
        <v>0</v>
      </c>
      <c r="E22" s="780">
        <f t="shared" si="1"/>
        <v>59.604032894295052</v>
      </c>
      <c r="F22" s="780">
        <f t="shared" si="1"/>
        <v>103.77927412771085</v>
      </c>
      <c r="G22" s="780">
        <f t="shared" si="1"/>
        <v>0</v>
      </c>
      <c r="H22" s="780">
        <f t="shared" si="1"/>
        <v>51991.924485638199</v>
      </c>
      <c r="I22" s="780">
        <f t="shared" si="1"/>
        <v>9581.4606650860478</v>
      </c>
      <c r="J22" s="780">
        <f t="shared" si="1"/>
        <v>0</v>
      </c>
      <c r="K22" s="780">
        <f t="shared" si="1"/>
        <v>0</v>
      </c>
      <c r="L22" s="780">
        <f t="shared" si="1"/>
        <v>0</v>
      </c>
      <c r="M22" s="780">
        <f t="shared" si="1"/>
        <v>0</v>
      </c>
      <c r="N22" s="780">
        <f t="shared" si="1"/>
        <v>3319.2497331154914</v>
      </c>
      <c r="O22" s="780">
        <f t="shared" si="1"/>
        <v>0</v>
      </c>
      <c r="P22" s="780">
        <f t="shared" si="1"/>
        <v>0</v>
      </c>
      <c r="Q22" s="780">
        <f t="shared" si="1"/>
        <v>0</v>
      </c>
      <c r="R22" s="780">
        <f t="shared" si="1"/>
        <v>65096.283238496922</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3565.7404880506051</v>
      </c>
      <c r="D24" s="973">
        <f>+landbouw!C8</f>
        <v>31422.857142857145</v>
      </c>
      <c r="E24" s="973">
        <f>+landbouw!D8</f>
        <v>10380.495053554652</v>
      </c>
      <c r="F24" s="973">
        <f>+landbouw!E8</f>
        <v>104.80800397231661</v>
      </c>
      <c r="G24" s="973">
        <f>+landbouw!F8</f>
        <v>14854.682190716303</v>
      </c>
      <c r="H24" s="973">
        <f>+landbouw!G8</f>
        <v>0</v>
      </c>
      <c r="I24" s="973">
        <f>+landbouw!H8</f>
        <v>0</v>
      </c>
      <c r="J24" s="973">
        <f>+landbouw!I8</f>
        <v>0</v>
      </c>
      <c r="K24" s="973">
        <f>+landbouw!J8</f>
        <v>516.59922156500465</v>
      </c>
      <c r="L24" s="973">
        <f>+landbouw!K8</f>
        <v>0</v>
      </c>
      <c r="M24" s="973">
        <f>+landbouw!L8</f>
        <v>0</v>
      </c>
      <c r="N24" s="973">
        <f>+landbouw!M8</f>
        <v>0</v>
      </c>
      <c r="O24" s="973">
        <f>+landbouw!N8</f>
        <v>0</v>
      </c>
      <c r="P24" s="973">
        <f>+landbouw!O8</f>
        <v>0</v>
      </c>
      <c r="Q24" s="974">
        <f>+landbouw!P8</f>
        <v>0</v>
      </c>
      <c r="R24" s="668">
        <f>SUM(C24:Q24)</f>
        <v>60845.182100716025</v>
      </c>
      <c r="S24" s="67"/>
    </row>
    <row r="25" spans="1:19" s="441" customFormat="1" ht="15" thickBot="1">
      <c r="A25" s="799" t="s">
        <v>808</v>
      </c>
      <c r="B25" s="976"/>
      <c r="C25" s="977">
        <f>IF(Onbekend_ele_kWh="---",0,Onbekend_ele_kWh)/1000+IF(REST_rest_ele_kWh="---",0,REST_rest_ele_kWh)/1000</f>
        <v>753.48068586828595</v>
      </c>
      <c r="D25" s="977"/>
      <c r="E25" s="977">
        <f>IF(onbekend_gas_kWh="---",0,onbekend_gas_kWh)/1000+IF(REST_rest_gas_kWh="---",0,REST_rest_gas_kWh)/1000</f>
        <v>1831.62972603498</v>
      </c>
      <c r="F25" s="977"/>
      <c r="G25" s="977"/>
      <c r="H25" s="977"/>
      <c r="I25" s="977"/>
      <c r="J25" s="977"/>
      <c r="K25" s="977"/>
      <c r="L25" s="977"/>
      <c r="M25" s="977"/>
      <c r="N25" s="977"/>
      <c r="O25" s="977"/>
      <c r="P25" s="977"/>
      <c r="Q25" s="978"/>
      <c r="R25" s="668">
        <f>SUM(C25:Q25)</f>
        <v>2585.1104119032661</v>
      </c>
      <c r="S25" s="67"/>
    </row>
    <row r="26" spans="1:19" s="441" customFormat="1" ht="15.75" thickBot="1">
      <c r="A26" s="673" t="s">
        <v>809</v>
      </c>
      <c r="B26" s="785"/>
      <c r="C26" s="780">
        <f>SUM(C24:C25)</f>
        <v>4319.2211739188915</v>
      </c>
      <c r="D26" s="780">
        <f t="shared" ref="D26:R26" si="2">SUM(D24:D25)</f>
        <v>31422.857142857145</v>
      </c>
      <c r="E26" s="780">
        <f t="shared" si="2"/>
        <v>12212.124779589632</v>
      </c>
      <c r="F26" s="780">
        <f t="shared" si="2"/>
        <v>104.80800397231661</v>
      </c>
      <c r="G26" s="780">
        <f t="shared" si="2"/>
        <v>14854.682190716303</v>
      </c>
      <c r="H26" s="780">
        <f t="shared" si="2"/>
        <v>0</v>
      </c>
      <c r="I26" s="780">
        <f t="shared" si="2"/>
        <v>0</v>
      </c>
      <c r="J26" s="780">
        <f t="shared" si="2"/>
        <v>0</v>
      </c>
      <c r="K26" s="780">
        <f t="shared" si="2"/>
        <v>516.59922156500465</v>
      </c>
      <c r="L26" s="780">
        <f t="shared" si="2"/>
        <v>0</v>
      </c>
      <c r="M26" s="780">
        <f t="shared" si="2"/>
        <v>0</v>
      </c>
      <c r="N26" s="780">
        <f t="shared" si="2"/>
        <v>0</v>
      </c>
      <c r="O26" s="780">
        <f t="shared" si="2"/>
        <v>0</v>
      </c>
      <c r="P26" s="780">
        <f t="shared" si="2"/>
        <v>0</v>
      </c>
      <c r="Q26" s="780">
        <f t="shared" si="2"/>
        <v>0</v>
      </c>
      <c r="R26" s="780">
        <f t="shared" si="2"/>
        <v>63430.292512619293</v>
      </c>
      <c r="S26" s="67"/>
    </row>
    <row r="27" spans="1:19" s="441" customFormat="1" ht="17.25" thickTop="1" thickBot="1">
      <c r="A27" s="674" t="s">
        <v>115</v>
      </c>
      <c r="B27" s="773"/>
      <c r="C27" s="675">
        <f ca="1">C22+C16+C26</f>
        <v>52492.003680956637</v>
      </c>
      <c r="D27" s="675">
        <f t="shared" ref="D27:R27" ca="1" si="3">D22+D16+D26</f>
        <v>31422.857142857145</v>
      </c>
      <c r="E27" s="675">
        <f t="shared" ca="1" si="3"/>
        <v>81114.407330029178</v>
      </c>
      <c r="F27" s="675">
        <f t="shared" si="3"/>
        <v>2600.8301152664967</v>
      </c>
      <c r="G27" s="675">
        <f t="shared" ca="1" si="3"/>
        <v>44132.128806895678</v>
      </c>
      <c r="H27" s="675">
        <f t="shared" si="3"/>
        <v>51991.924485638199</v>
      </c>
      <c r="I27" s="675">
        <f t="shared" si="3"/>
        <v>9581.4606650860478</v>
      </c>
      <c r="J27" s="675">
        <f t="shared" si="3"/>
        <v>0</v>
      </c>
      <c r="K27" s="675">
        <f t="shared" si="3"/>
        <v>664.02941858683482</v>
      </c>
      <c r="L27" s="675">
        <f t="shared" si="3"/>
        <v>0</v>
      </c>
      <c r="M27" s="675">
        <f t="shared" ca="1" si="3"/>
        <v>0</v>
      </c>
      <c r="N27" s="675">
        <f t="shared" si="3"/>
        <v>3319.2497331154914</v>
      </c>
      <c r="O27" s="675">
        <f t="shared" ca="1" si="3"/>
        <v>8583.3867448636847</v>
      </c>
      <c r="P27" s="675">
        <f t="shared" si="3"/>
        <v>243.88000000000002</v>
      </c>
      <c r="Q27" s="675">
        <f t="shared" si="3"/>
        <v>514.80000000000007</v>
      </c>
      <c r="R27" s="675">
        <f t="shared" ca="1" si="3"/>
        <v>286660.95812329539</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2653.1658152392138</v>
      </c>
      <c r="D40" s="973">
        <f ca="1">tertiair!C20</f>
        <v>0</v>
      </c>
      <c r="E40" s="973">
        <f ca="1">tertiair!D20</f>
        <v>2444.2257048443994</v>
      </c>
      <c r="F40" s="973">
        <f>tertiair!E20</f>
        <v>48.302853916844583</v>
      </c>
      <c r="G40" s="973">
        <f ca="1">tertiair!F20</f>
        <v>551.40085573200247</v>
      </c>
      <c r="H40" s="973">
        <f>tertiair!G20</f>
        <v>0</v>
      </c>
      <c r="I40" s="973">
        <f>tertiair!H20</f>
        <v>0</v>
      </c>
      <c r="J40" s="973">
        <f>tertiair!I20</f>
        <v>0</v>
      </c>
      <c r="K40" s="973">
        <f>tertiair!J20</f>
        <v>7.1078565468233939E-3</v>
      </c>
      <c r="L40" s="973">
        <f>tertiair!K20</f>
        <v>0</v>
      </c>
      <c r="M40" s="973">
        <f ca="1">tertiair!L20</f>
        <v>0</v>
      </c>
      <c r="N40" s="973">
        <f>tertiair!M20</f>
        <v>0</v>
      </c>
      <c r="O40" s="973">
        <f ca="1">tertiair!N20</f>
        <v>0</v>
      </c>
      <c r="P40" s="973">
        <f>tertiair!O20</f>
        <v>0</v>
      </c>
      <c r="Q40" s="742">
        <f>tertiair!P20</f>
        <v>0</v>
      </c>
      <c r="R40" s="818">
        <f t="shared" ca="1" si="4"/>
        <v>5697.1023375890063</v>
      </c>
    </row>
    <row r="41" spans="1:18">
      <c r="A41" s="790" t="s">
        <v>219</v>
      </c>
      <c r="B41" s="797"/>
      <c r="C41" s="973">
        <f ca="1">huishoudens!B12</f>
        <v>3624.4736680147134</v>
      </c>
      <c r="D41" s="973">
        <f ca="1">huishoudens!C12</f>
        <v>0</v>
      </c>
      <c r="E41" s="973">
        <f>huishoudens!D12</f>
        <v>8454.9828154021743</v>
      </c>
      <c r="F41" s="973">
        <f>huishoudens!E12</f>
        <v>204.78554024872898</v>
      </c>
      <c r="G41" s="973">
        <f>huishoudens!F12</f>
        <v>6102.5939140857263</v>
      </c>
      <c r="H41" s="973">
        <f>huishoudens!G12</f>
        <v>0</v>
      </c>
      <c r="I41" s="973">
        <f>huishoudens!H12</f>
        <v>0</v>
      </c>
      <c r="J41" s="973">
        <f>huishoudens!I12</f>
        <v>0</v>
      </c>
      <c r="K41" s="973">
        <f>huishoudens!J12</f>
        <v>38.933367150035878</v>
      </c>
      <c r="L41" s="973">
        <f>huishoudens!K12</f>
        <v>0</v>
      </c>
      <c r="M41" s="973">
        <f>huishoudens!L12</f>
        <v>0</v>
      </c>
      <c r="N41" s="973">
        <f>huishoudens!M12</f>
        <v>0</v>
      </c>
      <c r="O41" s="973">
        <f>huishoudens!N12</f>
        <v>0</v>
      </c>
      <c r="P41" s="973">
        <f>huishoudens!O12</f>
        <v>0</v>
      </c>
      <c r="Q41" s="742">
        <f>huishoudens!P12</f>
        <v>0</v>
      </c>
      <c r="R41" s="818">
        <f t="shared" ca="1" si="4"/>
        <v>18425.76930490138</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3925.0556856106464</v>
      </c>
      <c r="D43" s="973">
        <f ca="1">industrie!C22</f>
        <v>0</v>
      </c>
      <c r="E43" s="973">
        <f>industrie!D22</f>
        <v>3007.0125402975696</v>
      </c>
      <c r="F43" s="973">
        <f>industrie!E22</f>
        <v>289.95072987121495</v>
      </c>
      <c r="G43" s="973">
        <f>industrie!F22</f>
        <v>1163.0834767021643</v>
      </c>
      <c r="H43" s="973">
        <f>industrie!G22</f>
        <v>0</v>
      </c>
      <c r="I43" s="973">
        <f>industrie!H22</f>
        <v>0</v>
      </c>
      <c r="J43" s="973">
        <f>industrie!I22</f>
        <v>0</v>
      </c>
      <c r="K43" s="973">
        <f>industrie!J22</f>
        <v>13.249814739145172</v>
      </c>
      <c r="L43" s="973">
        <f>industrie!K22</f>
        <v>0</v>
      </c>
      <c r="M43" s="973">
        <f>industrie!L22</f>
        <v>0</v>
      </c>
      <c r="N43" s="973">
        <f>industrie!M22</f>
        <v>0</v>
      </c>
      <c r="O43" s="973">
        <f>industrie!N22</f>
        <v>0</v>
      </c>
      <c r="P43" s="973">
        <f>industrie!O22</f>
        <v>0</v>
      </c>
      <c r="Q43" s="742">
        <f>industrie!P22</f>
        <v>0</v>
      </c>
      <c r="R43" s="817">
        <f t="shared" ca="1" si="4"/>
        <v>8398.3522472207405</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10202.695168864573</v>
      </c>
      <c r="D46" s="700">
        <f t="shared" ref="D46:Q46" ca="1" si="5">SUM(D39:D45)</f>
        <v>0</v>
      </c>
      <c r="E46" s="700">
        <f t="shared" ca="1" si="5"/>
        <v>13906.221060544143</v>
      </c>
      <c r="F46" s="700">
        <f t="shared" si="5"/>
        <v>543.03912403678851</v>
      </c>
      <c r="G46" s="700">
        <f t="shared" ca="1" si="5"/>
        <v>7817.0782465198927</v>
      </c>
      <c r="H46" s="700">
        <f t="shared" si="5"/>
        <v>0</v>
      </c>
      <c r="I46" s="700">
        <f t="shared" si="5"/>
        <v>0</v>
      </c>
      <c r="J46" s="700">
        <f t="shared" si="5"/>
        <v>0</v>
      </c>
      <c r="K46" s="700">
        <f t="shared" si="5"/>
        <v>52.190289745727874</v>
      </c>
      <c r="L46" s="700">
        <f t="shared" si="5"/>
        <v>0</v>
      </c>
      <c r="M46" s="700">
        <f t="shared" ca="1" si="5"/>
        <v>0</v>
      </c>
      <c r="N46" s="700">
        <f t="shared" si="5"/>
        <v>0</v>
      </c>
      <c r="O46" s="700">
        <f t="shared" ca="1" si="5"/>
        <v>0</v>
      </c>
      <c r="P46" s="700">
        <f t="shared" si="5"/>
        <v>0</v>
      </c>
      <c r="Q46" s="700">
        <f t="shared" si="5"/>
        <v>0</v>
      </c>
      <c r="R46" s="700">
        <f ca="1">SUM(R39:R45)</f>
        <v>32521.223889711127</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1.291103873357542</v>
      </c>
      <c r="D49" s="973">
        <f ca="1">transport!C58</f>
        <v>0</v>
      </c>
      <c r="E49" s="973">
        <f>transport!D58</f>
        <v>0</v>
      </c>
      <c r="F49" s="973">
        <f>transport!E58</f>
        <v>0</v>
      </c>
      <c r="G49" s="973">
        <f>transport!F58</f>
        <v>0</v>
      </c>
      <c r="H49" s="973">
        <f>transport!G58</f>
        <v>152.77314166313599</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154.06424553649353</v>
      </c>
    </row>
    <row r="50" spans="1:18">
      <c r="A50" s="793" t="s">
        <v>301</v>
      </c>
      <c r="B50" s="803"/>
      <c r="C50" s="671">
        <f ca="1">transport!B18</f>
        <v>7.2439162890113584</v>
      </c>
      <c r="D50" s="671">
        <f>transport!C18</f>
        <v>0</v>
      </c>
      <c r="E50" s="671">
        <f>transport!D18</f>
        <v>12.040014644647602</v>
      </c>
      <c r="F50" s="671">
        <f>transport!E18</f>
        <v>23.557895226990365</v>
      </c>
      <c r="G50" s="671">
        <f>transport!F18</f>
        <v>0</v>
      </c>
      <c r="H50" s="671">
        <f>transport!G18</f>
        <v>13729.070696002264</v>
      </c>
      <c r="I50" s="671">
        <f>transport!H18</f>
        <v>2385.7837056064259</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16157.696227769338</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8.5350201623688999</v>
      </c>
      <c r="D52" s="700">
        <f t="shared" ref="D52:Q52" ca="1" si="6">SUM(D48:D51)</f>
        <v>0</v>
      </c>
      <c r="E52" s="700">
        <f t="shared" si="6"/>
        <v>12.040014644647602</v>
      </c>
      <c r="F52" s="700">
        <f t="shared" si="6"/>
        <v>23.557895226990365</v>
      </c>
      <c r="G52" s="700">
        <f t="shared" si="6"/>
        <v>0</v>
      </c>
      <c r="H52" s="700">
        <f t="shared" si="6"/>
        <v>13881.843837665399</v>
      </c>
      <c r="I52" s="700">
        <f t="shared" si="6"/>
        <v>2385.7837056064259</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16311.760473305832</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755.83337774808092</v>
      </c>
      <c r="D54" s="671">
        <f ca="1">+landbouw!C12</f>
        <v>7467.5495798319334</v>
      </c>
      <c r="E54" s="671">
        <f>+landbouw!D12</f>
        <v>2096.8600008180397</v>
      </c>
      <c r="F54" s="671">
        <f>+landbouw!E12</f>
        <v>23.791416901715873</v>
      </c>
      <c r="G54" s="671">
        <f>+landbouw!F12</f>
        <v>3966.200144921253</v>
      </c>
      <c r="H54" s="671">
        <f>+landbouw!G12</f>
        <v>0</v>
      </c>
      <c r="I54" s="671">
        <f>+landbouw!H12</f>
        <v>0</v>
      </c>
      <c r="J54" s="671">
        <f>+landbouw!I12</f>
        <v>0</v>
      </c>
      <c r="K54" s="671">
        <f>+landbouw!J12</f>
        <v>182.87612443401164</v>
      </c>
      <c r="L54" s="671">
        <f>+landbouw!K12</f>
        <v>0</v>
      </c>
      <c r="M54" s="671">
        <f>+landbouw!L12</f>
        <v>0</v>
      </c>
      <c r="N54" s="671">
        <f>+landbouw!M12</f>
        <v>0</v>
      </c>
      <c r="O54" s="671">
        <f>+landbouw!N12</f>
        <v>0</v>
      </c>
      <c r="P54" s="671">
        <f>+landbouw!O12</f>
        <v>0</v>
      </c>
      <c r="Q54" s="672">
        <f>+landbouw!P12</f>
        <v>0</v>
      </c>
      <c r="R54" s="699">
        <f ca="1">SUM(C54:Q54)</f>
        <v>14493.110644655035</v>
      </c>
    </row>
    <row r="55" spans="1:18" ht="15" thickBot="1">
      <c r="A55" s="793" t="s">
        <v>808</v>
      </c>
      <c r="B55" s="803"/>
      <c r="C55" s="671">
        <f ca="1">C25*'EF ele_warmte'!B12</f>
        <v>159.71601236160538</v>
      </c>
      <c r="D55" s="671"/>
      <c r="E55" s="671">
        <f>E25*EF_CO2_aardgas</f>
        <v>369.98920465906599</v>
      </c>
      <c r="F55" s="671"/>
      <c r="G55" s="671"/>
      <c r="H55" s="671"/>
      <c r="I55" s="671"/>
      <c r="J55" s="671"/>
      <c r="K55" s="671"/>
      <c r="L55" s="671"/>
      <c r="M55" s="671"/>
      <c r="N55" s="671"/>
      <c r="O55" s="671"/>
      <c r="P55" s="671"/>
      <c r="Q55" s="672"/>
      <c r="R55" s="699">
        <f ca="1">SUM(C55:Q55)</f>
        <v>529.7052170206714</v>
      </c>
    </row>
    <row r="56" spans="1:18" ht="15.75" thickBot="1">
      <c r="A56" s="791" t="s">
        <v>809</v>
      </c>
      <c r="B56" s="804"/>
      <c r="C56" s="700">
        <f ca="1">SUM(C54:C55)</f>
        <v>915.54939010968633</v>
      </c>
      <c r="D56" s="700">
        <f t="shared" ref="D56:Q56" ca="1" si="7">SUM(D54:D55)</f>
        <v>7467.5495798319334</v>
      </c>
      <c r="E56" s="700">
        <f t="shared" si="7"/>
        <v>2466.8492054771059</v>
      </c>
      <c r="F56" s="700">
        <f t="shared" si="7"/>
        <v>23.791416901715873</v>
      </c>
      <c r="G56" s="700">
        <f t="shared" si="7"/>
        <v>3966.200144921253</v>
      </c>
      <c r="H56" s="700">
        <f t="shared" si="7"/>
        <v>0</v>
      </c>
      <c r="I56" s="700">
        <f t="shared" si="7"/>
        <v>0</v>
      </c>
      <c r="J56" s="700">
        <f t="shared" si="7"/>
        <v>0</v>
      </c>
      <c r="K56" s="700">
        <f t="shared" si="7"/>
        <v>182.87612443401164</v>
      </c>
      <c r="L56" s="700">
        <f t="shared" si="7"/>
        <v>0</v>
      </c>
      <c r="M56" s="700">
        <f t="shared" si="7"/>
        <v>0</v>
      </c>
      <c r="N56" s="700">
        <f t="shared" si="7"/>
        <v>0</v>
      </c>
      <c r="O56" s="700">
        <f t="shared" si="7"/>
        <v>0</v>
      </c>
      <c r="P56" s="700">
        <f t="shared" si="7"/>
        <v>0</v>
      </c>
      <c r="Q56" s="701">
        <f t="shared" si="7"/>
        <v>0</v>
      </c>
      <c r="R56" s="702">
        <f ca="1">SUM(R54:R55)</f>
        <v>15022.815861675706</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11126.77957913663</v>
      </c>
      <c r="D61" s="708">
        <f t="shared" ref="D61:Q61" ca="1" si="8">D46+D52+D56</f>
        <v>7467.5495798319334</v>
      </c>
      <c r="E61" s="708">
        <f t="shared" ca="1" si="8"/>
        <v>16385.110280665896</v>
      </c>
      <c r="F61" s="708">
        <f t="shared" si="8"/>
        <v>590.38843616549468</v>
      </c>
      <c r="G61" s="708">
        <f t="shared" ca="1" si="8"/>
        <v>11783.278391441145</v>
      </c>
      <c r="H61" s="708">
        <f t="shared" si="8"/>
        <v>13881.843837665399</v>
      </c>
      <c r="I61" s="708">
        <f t="shared" si="8"/>
        <v>2385.7837056064259</v>
      </c>
      <c r="J61" s="708">
        <f t="shared" si="8"/>
        <v>0</v>
      </c>
      <c r="K61" s="708">
        <f t="shared" si="8"/>
        <v>235.06641417973952</v>
      </c>
      <c r="L61" s="708">
        <f t="shared" si="8"/>
        <v>0</v>
      </c>
      <c r="M61" s="708">
        <f t="shared" ca="1" si="8"/>
        <v>0</v>
      </c>
      <c r="N61" s="708">
        <f t="shared" si="8"/>
        <v>0</v>
      </c>
      <c r="O61" s="708">
        <f t="shared" ca="1" si="8"/>
        <v>0</v>
      </c>
      <c r="P61" s="708">
        <f t="shared" si="8"/>
        <v>0</v>
      </c>
      <c r="Q61" s="708">
        <f t="shared" si="8"/>
        <v>0</v>
      </c>
      <c r="R61" s="708">
        <f ca="1">R46+R52+R56</f>
        <v>63855.80022469267</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0.21197094412254774</v>
      </c>
      <c r="D63" s="749">
        <f t="shared" ca="1" si="9"/>
        <v>0.23764705882352941</v>
      </c>
      <c r="E63" s="984">
        <f t="shared" ca="1" si="9"/>
        <v>0.20200000000000004</v>
      </c>
      <c r="F63" s="749">
        <f t="shared" si="9"/>
        <v>0.22699999999999998</v>
      </c>
      <c r="G63" s="749">
        <f t="shared" ca="1" si="9"/>
        <v>0.26699999999999996</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3801.456743154481</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21996</v>
      </c>
      <c r="D76" s="994">
        <f>'lokale energieproductie'!C8</f>
        <v>25877.647058823532</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5227.2847058823536</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3801.456743154481</v>
      </c>
      <c r="C78" s="723">
        <f>SUM(C72:C77)</f>
        <v>21996</v>
      </c>
      <c r="D78" s="724">
        <f t="shared" ref="D78:H78" si="10">SUM(D76:D77)</f>
        <v>25877.647058823532</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5227.2847058823536</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31422.857142857145</v>
      </c>
      <c r="D87" s="745">
        <f>'lokale energieproductie'!C17</f>
        <v>36968.067226890758</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7467.5495798319334</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31422.857142857145</v>
      </c>
      <c r="D90" s="723">
        <f t="shared" ref="D90:H90" si="12">SUM(D87:D89)</f>
        <v>36968.067226890758</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7467.5495798319334</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17098.917415394819</v>
      </c>
      <c r="C4" s="445">
        <f>huishoudens!C8</f>
        <v>0</v>
      </c>
      <c r="D4" s="445">
        <f>huishoudens!D8</f>
        <v>41856.350571297888</v>
      </c>
      <c r="E4" s="445">
        <f>huishoudens!E8</f>
        <v>902.13894382699993</v>
      </c>
      <c r="F4" s="445">
        <f>huishoudens!F8</f>
        <v>22856.156981594479</v>
      </c>
      <c r="G4" s="445">
        <f>huishoudens!G8</f>
        <v>0</v>
      </c>
      <c r="H4" s="445">
        <f>huishoudens!H8</f>
        <v>0</v>
      </c>
      <c r="I4" s="445">
        <f>huishoudens!I8</f>
        <v>0</v>
      </c>
      <c r="J4" s="445">
        <f>huishoudens!J8</f>
        <v>109.98126313569458</v>
      </c>
      <c r="K4" s="445">
        <f>huishoudens!K8</f>
        <v>0</v>
      </c>
      <c r="L4" s="445">
        <f>huishoudens!L8</f>
        <v>0</v>
      </c>
      <c r="M4" s="445">
        <f>huishoudens!M8</f>
        <v>0</v>
      </c>
      <c r="N4" s="445">
        <f>huishoudens!N8</f>
        <v>6481.4228703170666</v>
      </c>
      <c r="O4" s="445">
        <f>huishoudens!O8</f>
        <v>239.19000000000003</v>
      </c>
      <c r="P4" s="446">
        <f>huishoudens!P8</f>
        <v>381.33333333333337</v>
      </c>
      <c r="Q4" s="447">
        <f>SUM(B4:P4)</f>
        <v>89925.491378900275</v>
      </c>
    </row>
    <row r="5" spans="1:17">
      <c r="A5" s="444" t="s">
        <v>155</v>
      </c>
      <c r="B5" s="445">
        <f ca="1">tertiair!B16</f>
        <v>11709.022572859714</v>
      </c>
      <c r="C5" s="445">
        <f ca="1">tertiair!C16</f>
        <v>0</v>
      </c>
      <c r="D5" s="445">
        <f ca="1">tertiair!D16</f>
        <v>12100.127251704947</v>
      </c>
      <c r="E5" s="445">
        <f>tertiair!E16</f>
        <v>212.78790271737702</v>
      </c>
      <c r="F5" s="445">
        <f ca="1">tertiair!F16</f>
        <v>2065.1717443146158</v>
      </c>
      <c r="G5" s="445">
        <f>tertiair!G16</f>
        <v>0</v>
      </c>
      <c r="H5" s="445">
        <f>tertiair!H16</f>
        <v>0</v>
      </c>
      <c r="I5" s="445">
        <f>tertiair!I16</f>
        <v>0</v>
      </c>
      <c r="J5" s="445">
        <f>tertiair!J16</f>
        <v>2.0078690810235576E-2</v>
      </c>
      <c r="K5" s="445">
        <f>tertiair!K16</f>
        <v>0</v>
      </c>
      <c r="L5" s="445">
        <f ca="1">tertiair!L16</f>
        <v>0</v>
      </c>
      <c r="M5" s="445">
        <f>tertiair!M16</f>
        <v>0</v>
      </c>
      <c r="N5" s="445">
        <f ca="1">tertiair!N16</f>
        <v>815.42449800877387</v>
      </c>
      <c r="O5" s="445">
        <f>tertiair!O16</f>
        <v>4.6900000000000004</v>
      </c>
      <c r="P5" s="446">
        <f>tertiair!P16</f>
        <v>133.46666666666667</v>
      </c>
      <c r="Q5" s="444">
        <f t="shared" ref="Q5:Q14" ca="1" si="0">SUM(B5:P5)</f>
        <v>27040.710714962905</v>
      </c>
    </row>
    <row r="6" spans="1:17">
      <c r="A6" s="444" t="s">
        <v>193</v>
      </c>
      <c r="B6" s="445">
        <f>'openbare verlichting'!B8</f>
        <v>807.62599999999998</v>
      </c>
      <c r="C6" s="445"/>
      <c r="D6" s="445"/>
      <c r="E6" s="445"/>
      <c r="F6" s="445"/>
      <c r="G6" s="445"/>
      <c r="H6" s="445"/>
      <c r="I6" s="445"/>
      <c r="J6" s="445"/>
      <c r="K6" s="445"/>
      <c r="L6" s="445"/>
      <c r="M6" s="445"/>
      <c r="N6" s="445"/>
      <c r="O6" s="445"/>
      <c r="P6" s="446"/>
      <c r="Q6" s="444">
        <f t="shared" si="0"/>
        <v>807.62599999999998</v>
      </c>
    </row>
    <row r="7" spans="1:17">
      <c r="A7" s="444" t="s">
        <v>111</v>
      </c>
      <c r="B7" s="445">
        <f>landbouw!B8</f>
        <v>3565.7404880506051</v>
      </c>
      <c r="C7" s="445">
        <f>landbouw!C8</f>
        <v>31422.857142857145</v>
      </c>
      <c r="D7" s="445">
        <f>landbouw!D8</f>
        <v>10380.495053554652</v>
      </c>
      <c r="E7" s="445">
        <f>landbouw!E8</f>
        <v>104.80800397231661</v>
      </c>
      <c r="F7" s="445">
        <f>landbouw!F8</f>
        <v>14854.682190716303</v>
      </c>
      <c r="G7" s="445">
        <f>landbouw!G8</f>
        <v>0</v>
      </c>
      <c r="H7" s="445">
        <f>landbouw!H8</f>
        <v>0</v>
      </c>
      <c r="I7" s="445">
        <f>landbouw!I8</f>
        <v>0</v>
      </c>
      <c r="J7" s="445">
        <f>landbouw!J8</f>
        <v>516.59922156500465</v>
      </c>
      <c r="K7" s="445">
        <f>landbouw!K8</f>
        <v>0</v>
      </c>
      <c r="L7" s="445">
        <f>landbouw!L8</f>
        <v>0</v>
      </c>
      <c r="M7" s="445">
        <f>landbouw!M8</f>
        <v>0</v>
      </c>
      <c r="N7" s="445">
        <f>landbouw!N8</f>
        <v>0</v>
      </c>
      <c r="O7" s="445">
        <f>landbouw!O8</f>
        <v>0</v>
      </c>
      <c r="P7" s="446">
        <f>landbouw!P8</f>
        <v>0</v>
      </c>
      <c r="Q7" s="444">
        <f t="shared" si="0"/>
        <v>60845.182100716025</v>
      </c>
    </row>
    <row r="8" spans="1:17">
      <c r="A8" s="444" t="s">
        <v>627</v>
      </c>
      <c r="B8" s="445">
        <f>industrie!B18</f>
        <v>18516.951471148026</v>
      </c>
      <c r="C8" s="445">
        <f>industrie!C18</f>
        <v>0</v>
      </c>
      <c r="D8" s="445">
        <f>industrie!D18</f>
        <v>14886.200694542422</v>
      </c>
      <c r="E8" s="445">
        <f>industrie!E18</f>
        <v>1277.3159906220922</v>
      </c>
      <c r="F8" s="445">
        <f>industrie!F18</f>
        <v>4356.1178902702777</v>
      </c>
      <c r="G8" s="445">
        <f>industrie!G18</f>
        <v>0</v>
      </c>
      <c r="H8" s="445">
        <f>industrie!H18</f>
        <v>0</v>
      </c>
      <c r="I8" s="445">
        <f>industrie!I18</f>
        <v>0</v>
      </c>
      <c r="J8" s="445">
        <f>industrie!J18</f>
        <v>37.428855195325347</v>
      </c>
      <c r="K8" s="445">
        <f>industrie!K18</f>
        <v>0</v>
      </c>
      <c r="L8" s="445">
        <f>industrie!L18</f>
        <v>0</v>
      </c>
      <c r="M8" s="445">
        <f>industrie!M18</f>
        <v>0</v>
      </c>
      <c r="N8" s="445">
        <f>industrie!N18</f>
        <v>1286.5393765378435</v>
      </c>
      <c r="O8" s="445">
        <f>industrie!O18</f>
        <v>0</v>
      </c>
      <c r="P8" s="446">
        <f>industrie!P18</f>
        <v>0</v>
      </c>
      <c r="Q8" s="444">
        <f t="shared" si="0"/>
        <v>40360.554278315991</v>
      </c>
    </row>
    <row r="9" spans="1:17" s="450" customFormat="1">
      <c r="A9" s="448" t="s">
        <v>553</v>
      </c>
      <c r="B9" s="449">
        <f>transport!B14</f>
        <v>34.17410022395994</v>
      </c>
      <c r="C9" s="449">
        <f>transport!C14</f>
        <v>0</v>
      </c>
      <c r="D9" s="449">
        <f>transport!D14</f>
        <v>59.604032894295052</v>
      </c>
      <c r="E9" s="449">
        <f>transport!E14</f>
        <v>103.77927412771085</v>
      </c>
      <c r="F9" s="449">
        <f>transport!F14</f>
        <v>0</v>
      </c>
      <c r="G9" s="449">
        <f>transport!G14</f>
        <v>51419.740434465406</v>
      </c>
      <c r="H9" s="449">
        <f>transport!H14</f>
        <v>9581.4606650860478</v>
      </c>
      <c r="I9" s="449">
        <f>transport!I14</f>
        <v>0</v>
      </c>
      <c r="J9" s="449">
        <f>transport!J14</f>
        <v>0</v>
      </c>
      <c r="K9" s="449">
        <f>transport!K14</f>
        <v>0</v>
      </c>
      <c r="L9" s="449">
        <f>transport!L14</f>
        <v>0</v>
      </c>
      <c r="M9" s="449">
        <f>transport!M14</f>
        <v>3286.2993716002338</v>
      </c>
      <c r="N9" s="449">
        <f>transport!N14</f>
        <v>0</v>
      </c>
      <c r="O9" s="449">
        <f>transport!O14</f>
        <v>0</v>
      </c>
      <c r="P9" s="449">
        <f>transport!P14</f>
        <v>0</v>
      </c>
      <c r="Q9" s="448">
        <f>SUM(B9:P9)</f>
        <v>64485.057878397645</v>
      </c>
    </row>
    <row r="10" spans="1:17">
      <c r="A10" s="444" t="s">
        <v>543</v>
      </c>
      <c r="B10" s="445">
        <f>transport!B54</f>
        <v>6.0909474112221256</v>
      </c>
      <c r="C10" s="445">
        <f>transport!C54</f>
        <v>0</v>
      </c>
      <c r="D10" s="445">
        <f>transport!D54</f>
        <v>0</v>
      </c>
      <c r="E10" s="445">
        <f>transport!E54</f>
        <v>0</v>
      </c>
      <c r="F10" s="445">
        <f>transport!F54</f>
        <v>0</v>
      </c>
      <c r="G10" s="445">
        <f>transport!G54</f>
        <v>572.18405117279394</v>
      </c>
      <c r="H10" s="445">
        <f>transport!H54</f>
        <v>0</v>
      </c>
      <c r="I10" s="445">
        <f>transport!I54</f>
        <v>0</v>
      </c>
      <c r="J10" s="445">
        <f>transport!J54</f>
        <v>0</v>
      </c>
      <c r="K10" s="445">
        <f>transport!K54</f>
        <v>0</v>
      </c>
      <c r="L10" s="445">
        <f>transport!L54</f>
        <v>0</v>
      </c>
      <c r="M10" s="445">
        <f>transport!M54</f>
        <v>32.950361515257754</v>
      </c>
      <c r="N10" s="445">
        <f>transport!N54</f>
        <v>0</v>
      </c>
      <c r="O10" s="445">
        <f>transport!O54</f>
        <v>0</v>
      </c>
      <c r="P10" s="446">
        <f>transport!P54</f>
        <v>0</v>
      </c>
      <c r="Q10" s="444">
        <f t="shared" si="0"/>
        <v>611.22536009927387</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753.48068586828595</v>
      </c>
      <c r="C14" s="452"/>
      <c r="D14" s="452">
        <f>'SEAP template'!E25</f>
        <v>1831.62972603498</v>
      </c>
      <c r="E14" s="452"/>
      <c r="F14" s="452"/>
      <c r="G14" s="452"/>
      <c r="H14" s="452"/>
      <c r="I14" s="452"/>
      <c r="J14" s="452"/>
      <c r="K14" s="452"/>
      <c r="L14" s="452"/>
      <c r="M14" s="452"/>
      <c r="N14" s="452"/>
      <c r="O14" s="452"/>
      <c r="P14" s="453"/>
      <c r="Q14" s="444">
        <f t="shared" si="0"/>
        <v>2585.1104119032661</v>
      </c>
    </row>
    <row r="15" spans="1:17" s="454" customFormat="1">
      <c r="A15" s="999" t="s">
        <v>547</v>
      </c>
      <c r="B15" s="947">
        <f ca="1">SUM(B4:B14)</f>
        <v>52492.00368095663</v>
      </c>
      <c r="C15" s="947">
        <f t="shared" ref="C15:Q15" ca="1" si="1">SUM(C4:C14)</f>
        <v>31422.857142857145</v>
      </c>
      <c r="D15" s="947">
        <f t="shared" ca="1" si="1"/>
        <v>81114.407330029178</v>
      </c>
      <c r="E15" s="947">
        <f t="shared" si="1"/>
        <v>2600.8301152664963</v>
      </c>
      <c r="F15" s="947">
        <f t="shared" ca="1" si="1"/>
        <v>44132.128806895678</v>
      </c>
      <c r="G15" s="947">
        <f t="shared" si="1"/>
        <v>51991.924485638199</v>
      </c>
      <c r="H15" s="947">
        <f t="shared" si="1"/>
        <v>9581.4606650860478</v>
      </c>
      <c r="I15" s="947">
        <f t="shared" si="1"/>
        <v>0</v>
      </c>
      <c r="J15" s="947">
        <f t="shared" si="1"/>
        <v>664.02941858683482</v>
      </c>
      <c r="K15" s="947">
        <f t="shared" si="1"/>
        <v>0</v>
      </c>
      <c r="L15" s="947">
        <f t="shared" ca="1" si="1"/>
        <v>0</v>
      </c>
      <c r="M15" s="947">
        <f t="shared" si="1"/>
        <v>3319.2497331154914</v>
      </c>
      <c r="N15" s="947">
        <f t="shared" ca="1" si="1"/>
        <v>8583.3867448636847</v>
      </c>
      <c r="O15" s="947">
        <f t="shared" si="1"/>
        <v>243.88000000000002</v>
      </c>
      <c r="P15" s="947">
        <f t="shared" si="1"/>
        <v>514.80000000000007</v>
      </c>
      <c r="Q15" s="947">
        <f t="shared" ca="1" si="1"/>
        <v>286660.95812329534</v>
      </c>
    </row>
    <row r="17" spans="1:17">
      <c r="A17" s="455" t="s">
        <v>548</v>
      </c>
      <c r="B17" s="754">
        <f ca="1">huishoudens!B10</f>
        <v>0.21197094412254774</v>
      </c>
      <c r="C17" s="754">
        <f ca="1">huishoudens!C10</f>
        <v>0.23764705882352941</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3624.4736680147134</v>
      </c>
      <c r="C22" s="445">
        <f t="shared" ref="C22:C32" ca="1" si="3">C4*$C$17</f>
        <v>0</v>
      </c>
      <c r="D22" s="445">
        <f t="shared" ref="D22:D32" si="4">D4*$D$17</f>
        <v>8454.9828154021743</v>
      </c>
      <c r="E22" s="445">
        <f t="shared" ref="E22:E32" si="5">E4*$E$17</f>
        <v>204.78554024872898</v>
      </c>
      <c r="F22" s="445">
        <f t="shared" ref="F22:F32" si="6">F4*$F$17</f>
        <v>6102.5939140857263</v>
      </c>
      <c r="G22" s="445">
        <f t="shared" ref="G22:G32" si="7">G4*$G$17</f>
        <v>0</v>
      </c>
      <c r="H22" s="445">
        <f t="shared" ref="H22:H32" si="8">H4*$H$17</f>
        <v>0</v>
      </c>
      <c r="I22" s="445">
        <f t="shared" ref="I22:I32" si="9">I4*$I$17</f>
        <v>0</v>
      </c>
      <c r="J22" s="445">
        <f t="shared" ref="J22:J32" si="10">J4*$J$17</f>
        <v>38.933367150035878</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18425.76930490138</v>
      </c>
    </row>
    <row r="23" spans="1:17">
      <c r="A23" s="444" t="s">
        <v>155</v>
      </c>
      <c r="B23" s="445">
        <f t="shared" ca="1" si="2"/>
        <v>2481.9725695212969</v>
      </c>
      <c r="C23" s="445">
        <f t="shared" ca="1" si="3"/>
        <v>0</v>
      </c>
      <c r="D23" s="445">
        <f t="shared" ca="1" si="4"/>
        <v>2444.2257048443994</v>
      </c>
      <c r="E23" s="445">
        <f t="shared" si="5"/>
        <v>48.302853916844583</v>
      </c>
      <c r="F23" s="445">
        <f t="shared" ca="1" si="6"/>
        <v>551.40085573200247</v>
      </c>
      <c r="G23" s="445">
        <f t="shared" si="7"/>
        <v>0</v>
      </c>
      <c r="H23" s="445">
        <f t="shared" si="8"/>
        <v>0</v>
      </c>
      <c r="I23" s="445">
        <f t="shared" si="9"/>
        <v>0</v>
      </c>
      <c r="J23" s="445">
        <f t="shared" si="10"/>
        <v>7.1078565468233939E-3</v>
      </c>
      <c r="K23" s="445">
        <f t="shared" si="11"/>
        <v>0</v>
      </c>
      <c r="L23" s="445">
        <f t="shared" ca="1" si="12"/>
        <v>0</v>
      </c>
      <c r="M23" s="445">
        <f t="shared" si="13"/>
        <v>0</v>
      </c>
      <c r="N23" s="445">
        <f t="shared" ca="1" si="14"/>
        <v>0</v>
      </c>
      <c r="O23" s="445">
        <f t="shared" si="15"/>
        <v>0</v>
      </c>
      <c r="P23" s="446">
        <f t="shared" si="16"/>
        <v>0</v>
      </c>
      <c r="Q23" s="444">
        <f t="shared" ref="Q23:Q32" ca="1" si="17">SUM(B23:P23)</f>
        <v>5525.9090918710899</v>
      </c>
    </row>
    <row r="24" spans="1:17">
      <c r="A24" s="444" t="s">
        <v>193</v>
      </c>
      <c r="B24" s="445">
        <f t="shared" ca="1" si="2"/>
        <v>171.19324571791674</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171.19324571791674</v>
      </c>
    </row>
    <row r="25" spans="1:17">
      <c r="A25" s="444" t="s">
        <v>111</v>
      </c>
      <c r="B25" s="445">
        <f t="shared" ca="1" si="2"/>
        <v>755.83337774808092</v>
      </c>
      <c r="C25" s="445">
        <f t="shared" ca="1" si="3"/>
        <v>7467.5495798319334</v>
      </c>
      <c r="D25" s="445">
        <f t="shared" si="4"/>
        <v>2096.8600008180397</v>
      </c>
      <c r="E25" s="445">
        <f t="shared" si="5"/>
        <v>23.791416901715873</v>
      </c>
      <c r="F25" s="445">
        <f t="shared" si="6"/>
        <v>3966.200144921253</v>
      </c>
      <c r="G25" s="445">
        <f t="shared" si="7"/>
        <v>0</v>
      </c>
      <c r="H25" s="445">
        <f t="shared" si="8"/>
        <v>0</v>
      </c>
      <c r="I25" s="445">
        <f t="shared" si="9"/>
        <v>0</v>
      </c>
      <c r="J25" s="445">
        <f t="shared" si="10"/>
        <v>182.87612443401164</v>
      </c>
      <c r="K25" s="445">
        <f t="shared" si="11"/>
        <v>0</v>
      </c>
      <c r="L25" s="445">
        <f t="shared" si="12"/>
        <v>0</v>
      </c>
      <c r="M25" s="445">
        <f t="shared" si="13"/>
        <v>0</v>
      </c>
      <c r="N25" s="445">
        <f t="shared" si="14"/>
        <v>0</v>
      </c>
      <c r="O25" s="445">
        <f t="shared" si="15"/>
        <v>0</v>
      </c>
      <c r="P25" s="446">
        <f t="shared" si="16"/>
        <v>0</v>
      </c>
      <c r="Q25" s="444">
        <f t="shared" ca="1" si="17"/>
        <v>14493.110644655035</v>
      </c>
    </row>
    <row r="26" spans="1:17">
      <c r="A26" s="444" t="s">
        <v>627</v>
      </c>
      <c r="B26" s="445">
        <f t="shared" ca="1" si="2"/>
        <v>3925.0556856106464</v>
      </c>
      <c r="C26" s="445">
        <f t="shared" ca="1" si="3"/>
        <v>0</v>
      </c>
      <c r="D26" s="445">
        <f t="shared" si="4"/>
        <v>3007.0125402975696</v>
      </c>
      <c r="E26" s="445">
        <f t="shared" si="5"/>
        <v>289.95072987121495</v>
      </c>
      <c r="F26" s="445">
        <f t="shared" si="6"/>
        <v>1163.0834767021643</v>
      </c>
      <c r="G26" s="445">
        <f t="shared" si="7"/>
        <v>0</v>
      </c>
      <c r="H26" s="445">
        <f t="shared" si="8"/>
        <v>0</v>
      </c>
      <c r="I26" s="445">
        <f t="shared" si="9"/>
        <v>0</v>
      </c>
      <c r="J26" s="445">
        <f t="shared" si="10"/>
        <v>13.249814739145172</v>
      </c>
      <c r="K26" s="445">
        <f t="shared" si="11"/>
        <v>0</v>
      </c>
      <c r="L26" s="445">
        <f t="shared" si="12"/>
        <v>0</v>
      </c>
      <c r="M26" s="445">
        <f t="shared" si="13"/>
        <v>0</v>
      </c>
      <c r="N26" s="445">
        <f t="shared" si="14"/>
        <v>0</v>
      </c>
      <c r="O26" s="445">
        <f t="shared" si="15"/>
        <v>0</v>
      </c>
      <c r="P26" s="446">
        <f t="shared" si="16"/>
        <v>0</v>
      </c>
      <c r="Q26" s="444">
        <f t="shared" ca="1" si="17"/>
        <v>8398.3522472207405</v>
      </c>
    </row>
    <row r="27" spans="1:17" s="450" customFormat="1">
      <c r="A27" s="448" t="s">
        <v>553</v>
      </c>
      <c r="B27" s="748">
        <f t="shared" ca="1" si="2"/>
        <v>7.2439162890113584</v>
      </c>
      <c r="C27" s="449">
        <f t="shared" ca="1" si="3"/>
        <v>0</v>
      </c>
      <c r="D27" s="449">
        <f t="shared" si="4"/>
        <v>12.040014644647602</v>
      </c>
      <c r="E27" s="449">
        <f t="shared" si="5"/>
        <v>23.557895226990365</v>
      </c>
      <c r="F27" s="449">
        <f t="shared" si="6"/>
        <v>0</v>
      </c>
      <c r="G27" s="449">
        <f t="shared" si="7"/>
        <v>13729.070696002264</v>
      </c>
      <c r="H27" s="449">
        <f t="shared" si="8"/>
        <v>2385.7837056064259</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16157.696227769338</v>
      </c>
    </row>
    <row r="28" spans="1:17">
      <c r="A28" s="444" t="s">
        <v>543</v>
      </c>
      <c r="B28" s="445">
        <f t="shared" ca="1" si="2"/>
        <v>1.291103873357542</v>
      </c>
      <c r="C28" s="445">
        <f t="shared" ca="1" si="3"/>
        <v>0</v>
      </c>
      <c r="D28" s="445">
        <f t="shared" si="4"/>
        <v>0</v>
      </c>
      <c r="E28" s="445">
        <f t="shared" si="5"/>
        <v>0</v>
      </c>
      <c r="F28" s="445">
        <f t="shared" si="6"/>
        <v>0</v>
      </c>
      <c r="G28" s="445">
        <f t="shared" si="7"/>
        <v>152.77314166313599</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154.06424553649353</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159.71601236160538</v>
      </c>
      <c r="C32" s="445">
        <f t="shared" ca="1" si="3"/>
        <v>0</v>
      </c>
      <c r="D32" s="445">
        <f t="shared" si="4"/>
        <v>369.98920465906599</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529.7052170206714</v>
      </c>
    </row>
    <row r="33" spans="1:17" s="454" customFormat="1">
      <c r="A33" s="999" t="s">
        <v>547</v>
      </c>
      <c r="B33" s="947">
        <f ca="1">SUM(B22:B32)</f>
        <v>11126.77957913663</v>
      </c>
      <c r="C33" s="947">
        <f t="shared" ref="C33:Q33" ca="1" si="18">SUM(C22:C32)</f>
        <v>7467.5495798319334</v>
      </c>
      <c r="D33" s="947">
        <f t="shared" ca="1" si="18"/>
        <v>16385.110280665896</v>
      </c>
      <c r="E33" s="947">
        <f t="shared" si="18"/>
        <v>590.38843616549468</v>
      </c>
      <c r="F33" s="947">
        <f t="shared" ca="1" si="18"/>
        <v>11783.278391441147</v>
      </c>
      <c r="G33" s="947">
        <f t="shared" si="18"/>
        <v>13881.843837665399</v>
      </c>
      <c r="H33" s="947">
        <f t="shared" si="18"/>
        <v>2385.7837056064259</v>
      </c>
      <c r="I33" s="947">
        <f t="shared" si="18"/>
        <v>0</v>
      </c>
      <c r="J33" s="947">
        <f t="shared" si="18"/>
        <v>235.06641417973952</v>
      </c>
      <c r="K33" s="947">
        <f t="shared" si="18"/>
        <v>0</v>
      </c>
      <c r="L33" s="947">
        <f t="shared" ca="1" si="18"/>
        <v>0</v>
      </c>
      <c r="M33" s="947">
        <f t="shared" si="18"/>
        <v>0</v>
      </c>
      <c r="N33" s="947">
        <f t="shared" ca="1" si="18"/>
        <v>0</v>
      </c>
      <c r="O33" s="947">
        <f t="shared" si="18"/>
        <v>0</v>
      </c>
      <c r="P33" s="947">
        <f t="shared" si="18"/>
        <v>0</v>
      </c>
      <c r="Q33" s="947">
        <f t="shared" ca="1" si="18"/>
        <v>63855.80022469267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3801.456743154481</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21996</v>
      </c>
      <c r="D8" s="1016">
        <f>'SEAP template'!D76</f>
        <v>25877.647058823532</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5227.2847058823536</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3801.456743154481</v>
      </c>
      <c r="C10" s="1020">
        <f>SUM(C4:C9)</f>
        <v>21996</v>
      </c>
      <c r="D10" s="1020">
        <f t="shared" ref="D10:H10" si="0">SUM(D8:D9)</f>
        <v>25877.647058823532</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5227.2847058823536</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0.21197094412254774</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31422.857142857145</v>
      </c>
      <c r="D17" s="1017">
        <f>'SEAP template'!D87</f>
        <v>36968.067226890758</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7467.5495798319334</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31422.857142857145</v>
      </c>
      <c r="D20" s="1020">
        <f t="shared" ref="D20:H20" si="2">SUM(D17:D19)</f>
        <v>36968.067226890758</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7467.5495798319334</v>
      </c>
    </row>
    <row r="22" spans="1:16">
      <c r="A22" s="455" t="s">
        <v>833</v>
      </c>
      <c r="B22" s="754" t="s">
        <v>827</v>
      </c>
      <c r="C22" s="754">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0.21197094412254774</v>
      </c>
      <c r="C17" s="492">
        <f ca="1">'EF ele_warmte'!B22</f>
        <v>0.23764705882352941</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0.21197094412254774</v>
      </c>
      <c r="C17" s="492">
        <f ca="1">'EF ele_warmte'!B22</f>
        <v>0.23764705882352941</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0.21197094412254774</v>
      </c>
      <c r="C29" s="493">
        <f ca="1">'EF ele_warmte'!B22</f>
        <v>0.23764705882352941</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4496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748.87</v>
      </c>
      <c r="C14" s="324"/>
      <c r="D14" s="324"/>
      <c r="E14" s="324"/>
      <c r="F14" s="324"/>
    </row>
    <row r="15" spans="1:6">
      <c r="A15" s="1291" t="s">
        <v>183</v>
      </c>
      <c r="B15" s="1292">
        <v>575</v>
      </c>
      <c r="C15" s="324"/>
      <c r="D15" s="324"/>
      <c r="E15" s="324"/>
      <c r="F15" s="324"/>
    </row>
    <row r="16" spans="1:6">
      <c r="A16" s="1291" t="s">
        <v>6</v>
      </c>
      <c r="B16" s="1292">
        <v>108</v>
      </c>
      <c r="C16" s="324"/>
      <c r="D16" s="324"/>
      <c r="E16" s="324"/>
      <c r="F16" s="324"/>
    </row>
    <row r="17" spans="1:6">
      <c r="A17" s="1291" t="s">
        <v>7</v>
      </c>
      <c r="B17" s="1292">
        <v>89</v>
      </c>
      <c r="C17" s="324"/>
      <c r="D17" s="324"/>
      <c r="E17" s="324"/>
      <c r="F17" s="324"/>
    </row>
    <row r="18" spans="1:6">
      <c r="A18" s="1291" t="s">
        <v>8</v>
      </c>
      <c r="B18" s="1292">
        <v>161</v>
      </c>
      <c r="C18" s="324"/>
      <c r="D18" s="324"/>
      <c r="E18" s="324"/>
      <c r="F18" s="324"/>
    </row>
    <row r="19" spans="1:6">
      <c r="A19" s="1291" t="s">
        <v>9</v>
      </c>
      <c r="B19" s="1292">
        <v>169</v>
      </c>
      <c r="C19" s="324"/>
      <c r="D19" s="324"/>
      <c r="E19" s="324"/>
      <c r="F19" s="324"/>
    </row>
    <row r="20" spans="1:6">
      <c r="A20" s="1291" t="s">
        <v>10</v>
      </c>
      <c r="B20" s="1292">
        <v>95</v>
      </c>
      <c r="C20" s="324"/>
      <c r="D20" s="324"/>
      <c r="E20" s="324"/>
      <c r="F20" s="324"/>
    </row>
    <row r="21" spans="1:6">
      <c r="A21" s="1291" t="s">
        <v>11</v>
      </c>
      <c r="B21" s="1292">
        <v>1348</v>
      </c>
      <c r="C21" s="324"/>
      <c r="D21" s="324"/>
      <c r="E21" s="324"/>
      <c r="F21" s="324"/>
    </row>
    <row r="22" spans="1:6">
      <c r="A22" s="1291" t="s">
        <v>12</v>
      </c>
      <c r="B22" s="1292">
        <v>6786</v>
      </c>
      <c r="C22" s="324"/>
      <c r="D22" s="324"/>
      <c r="E22" s="324"/>
      <c r="F22" s="324"/>
    </row>
    <row r="23" spans="1:6">
      <c r="A23" s="1291" t="s">
        <v>13</v>
      </c>
      <c r="B23" s="1292">
        <v>65</v>
      </c>
      <c r="C23" s="324"/>
      <c r="D23" s="324"/>
      <c r="E23" s="324"/>
      <c r="F23" s="324"/>
    </row>
    <row r="24" spans="1:6">
      <c r="A24" s="1291" t="s">
        <v>14</v>
      </c>
      <c r="B24" s="1292">
        <v>3</v>
      </c>
      <c r="C24" s="324"/>
      <c r="D24" s="324"/>
      <c r="E24" s="324"/>
      <c r="F24" s="324"/>
    </row>
    <row r="25" spans="1:6">
      <c r="A25" s="1291" t="s">
        <v>15</v>
      </c>
      <c r="B25" s="1292">
        <v>396</v>
      </c>
      <c r="C25" s="324"/>
      <c r="D25" s="324"/>
      <c r="E25" s="324"/>
      <c r="F25" s="324"/>
    </row>
    <row r="26" spans="1:6">
      <c r="A26" s="1291" t="s">
        <v>16</v>
      </c>
      <c r="B26" s="1292">
        <v>18</v>
      </c>
      <c r="C26" s="324"/>
      <c r="D26" s="324"/>
      <c r="E26" s="324"/>
      <c r="F26" s="324"/>
    </row>
    <row r="27" spans="1:6">
      <c r="A27" s="1291" t="s">
        <v>17</v>
      </c>
      <c r="B27" s="1292">
        <v>0</v>
      </c>
      <c r="C27" s="324"/>
      <c r="D27" s="324"/>
      <c r="E27" s="324"/>
      <c r="F27" s="324"/>
    </row>
    <row r="28" spans="1:6" s="43" customFormat="1">
      <c r="A28" s="1293" t="s">
        <v>18</v>
      </c>
      <c r="B28" s="1294">
        <v>100226</v>
      </c>
      <c r="C28" s="330"/>
      <c r="D28" s="330"/>
      <c r="E28" s="330"/>
      <c r="F28" s="330"/>
    </row>
    <row r="29" spans="1:6">
      <c r="A29" s="1293" t="s">
        <v>722</v>
      </c>
      <c r="B29" s="1294">
        <v>67</v>
      </c>
      <c r="C29" s="330"/>
      <c r="D29" s="330"/>
      <c r="E29" s="330"/>
      <c r="F29" s="330"/>
    </row>
    <row r="30" spans="1:6">
      <c r="A30" s="1286" t="s">
        <v>723</v>
      </c>
      <c r="B30" s="1295">
        <v>0</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4</v>
      </c>
      <c r="F36" s="1292">
        <v>3496.8723514536</v>
      </c>
    </row>
    <row r="37" spans="1:6">
      <c r="A37" s="1291" t="s">
        <v>24</v>
      </c>
      <c r="B37" s="1291" t="s">
        <v>27</v>
      </c>
      <c r="C37" s="1292">
        <v>0</v>
      </c>
      <c r="D37" s="1292">
        <v>0</v>
      </c>
      <c r="E37" s="1292">
        <v>0</v>
      </c>
      <c r="F37" s="1292">
        <v>0</v>
      </c>
    </row>
    <row r="38" spans="1:6">
      <c r="A38" s="1291" t="s">
        <v>24</v>
      </c>
      <c r="B38" s="1291" t="s">
        <v>28</v>
      </c>
      <c r="C38" s="1292">
        <v>0</v>
      </c>
      <c r="D38" s="1292">
        <v>0</v>
      </c>
      <c r="E38" s="1292">
        <v>3</v>
      </c>
      <c r="F38" s="1292">
        <v>374048.91852680303</v>
      </c>
    </row>
    <row r="39" spans="1:6">
      <c r="A39" s="1291" t="s">
        <v>29</v>
      </c>
      <c r="B39" s="1291" t="s">
        <v>30</v>
      </c>
      <c r="C39" s="1292">
        <v>3078</v>
      </c>
      <c r="D39" s="1292">
        <v>46367778.001684502</v>
      </c>
      <c r="E39" s="1292">
        <v>4260</v>
      </c>
      <c r="F39" s="1292">
        <v>14622093.550789099</v>
      </c>
    </row>
    <row r="40" spans="1:6">
      <c r="A40" s="1291" t="s">
        <v>29</v>
      </c>
      <c r="B40" s="1291" t="s">
        <v>28</v>
      </c>
      <c r="C40" s="1292">
        <v>1</v>
      </c>
      <c r="D40" s="1292">
        <v>36158.3301313388</v>
      </c>
      <c r="E40" s="1292">
        <v>1</v>
      </c>
      <c r="F40" s="1292">
        <v>3424.8389485654998</v>
      </c>
    </row>
    <row r="41" spans="1:6">
      <c r="A41" s="1291" t="s">
        <v>31</v>
      </c>
      <c r="B41" s="1291" t="s">
        <v>32</v>
      </c>
      <c r="C41" s="1292">
        <v>78</v>
      </c>
      <c r="D41" s="1292">
        <v>1799595.84096261</v>
      </c>
      <c r="E41" s="1292">
        <v>174</v>
      </c>
      <c r="F41" s="1292">
        <v>2344489.7187496</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12</v>
      </c>
      <c r="F44" s="1292">
        <v>271273.58491194702</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39</v>
      </c>
      <c r="D48" s="1292">
        <v>14388064.012419799</v>
      </c>
      <c r="E48" s="1292">
        <v>52</v>
      </c>
      <c r="F48" s="1292">
        <v>10455043.018025599</v>
      </c>
    </row>
    <row r="49" spans="1:6">
      <c r="A49" s="1291" t="s">
        <v>31</v>
      </c>
      <c r="B49" s="1291" t="s">
        <v>39</v>
      </c>
      <c r="C49" s="1292">
        <v>0</v>
      </c>
      <c r="D49" s="1292">
        <v>0</v>
      </c>
      <c r="E49" s="1292">
        <v>20</v>
      </c>
      <c r="F49" s="1292">
        <v>790567.70373011904</v>
      </c>
    </row>
    <row r="50" spans="1:6">
      <c r="A50" s="1291" t="s">
        <v>31</v>
      </c>
      <c r="B50" s="1291" t="s">
        <v>40</v>
      </c>
      <c r="C50" s="1292">
        <v>3</v>
      </c>
      <c r="D50" s="1292">
        <v>315888.58846062998</v>
      </c>
      <c r="E50" s="1292">
        <v>10</v>
      </c>
      <c r="F50" s="1292">
        <v>4655577.4457307598</v>
      </c>
    </row>
    <row r="51" spans="1:6">
      <c r="A51" s="1291" t="s">
        <v>41</v>
      </c>
      <c r="B51" s="1291" t="s">
        <v>42</v>
      </c>
      <c r="C51" s="1292">
        <v>12</v>
      </c>
      <c r="D51" s="1292">
        <v>59483204.051523797</v>
      </c>
      <c r="E51" s="1292">
        <v>63</v>
      </c>
      <c r="F51" s="1292">
        <v>3336336.32650775</v>
      </c>
    </row>
    <row r="52" spans="1:6">
      <c r="A52" s="1291" t="s">
        <v>41</v>
      </c>
      <c r="B52" s="1291" t="s">
        <v>28</v>
      </c>
      <c r="C52" s="1292">
        <v>4</v>
      </c>
      <c r="D52" s="1292">
        <v>21698846.213741101</v>
      </c>
      <c r="E52" s="1292">
        <v>12</v>
      </c>
      <c r="F52" s="1292">
        <v>229404.161542855</v>
      </c>
    </row>
    <row r="53" spans="1:6">
      <c r="A53" s="1291" t="s">
        <v>43</v>
      </c>
      <c r="B53" s="1291" t="s">
        <v>44</v>
      </c>
      <c r="C53" s="1292">
        <v>75</v>
      </c>
      <c r="D53" s="1292">
        <v>1831629.72603498</v>
      </c>
      <c r="E53" s="1292">
        <v>138</v>
      </c>
      <c r="F53" s="1292">
        <v>753480.68586828595</v>
      </c>
    </row>
    <row r="54" spans="1:6">
      <c r="A54" s="1291" t="s">
        <v>45</v>
      </c>
      <c r="B54" s="1291" t="s">
        <v>46</v>
      </c>
      <c r="C54" s="1292">
        <v>0</v>
      </c>
      <c r="D54" s="1292">
        <v>0</v>
      </c>
      <c r="E54" s="1292">
        <v>1</v>
      </c>
      <c r="F54" s="1292">
        <v>807626</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18</v>
      </c>
      <c r="D57" s="1292">
        <v>353567.76787503302</v>
      </c>
      <c r="E57" s="1292">
        <v>38</v>
      </c>
      <c r="F57" s="1292">
        <v>527567.09607205202</v>
      </c>
    </row>
    <row r="58" spans="1:6">
      <c r="A58" s="1291" t="s">
        <v>48</v>
      </c>
      <c r="B58" s="1291" t="s">
        <v>50</v>
      </c>
      <c r="C58" s="1292">
        <v>18</v>
      </c>
      <c r="D58" s="1292">
        <v>2287770.8183190199</v>
      </c>
      <c r="E58" s="1292">
        <v>29</v>
      </c>
      <c r="F58" s="1292">
        <v>940887.52433888102</v>
      </c>
    </row>
    <row r="59" spans="1:6">
      <c r="A59" s="1291" t="s">
        <v>48</v>
      </c>
      <c r="B59" s="1291" t="s">
        <v>51</v>
      </c>
      <c r="C59" s="1292">
        <v>59</v>
      </c>
      <c r="D59" s="1292">
        <v>2212317.6887875502</v>
      </c>
      <c r="E59" s="1292">
        <v>135</v>
      </c>
      <c r="F59" s="1292">
        <v>4319148.1459016101</v>
      </c>
    </row>
    <row r="60" spans="1:6">
      <c r="A60" s="1291" t="s">
        <v>48</v>
      </c>
      <c r="B60" s="1291" t="s">
        <v>52</v>
      </c>
      <c r="C60" s="1292">
        <v>34</v>
      </c>
      <c r="D60" s="1292">
        <v>1188933.5707259299</v>
      </c>
      <c r="E60" s="1292">
        <v>46</v>
      </c>
      <c r="F60" s="1292">
        <v>709761.65885474102</v>
      </c>
    </row>
    <row r="61" spans="1:6">
      <c r="A61" s="1291" t="s">
        <v>48</v>
      </c>
      <c r="B61" s="1291" t="s">
        <v>53</v>
      </c>
      <c r="C61" s="1292">
        <v>91</v>
      </c>
      <c r="D61" s="1292">
        <v>3365182.6831427002</v>
      </c>
      <c r="E61" s="1292">
        <v>159</v>
      </c>
      <c r="F61" s="1292">
        <v>1580681.7518448799</v>
      </c>
    </row>
    <row r="62" spans="1:6">
      <c r="A62" s="1291" t="s">
        <v>48</v>
      </c>
      <c r="B62" s="1291" t="s">
        <v>54</v>
      </c>
      <c r="C62" s="1292">
        <v>6</v>
      </c>
      <c r="D62" s="1292">
        <v>353047.239443083</v>
      </c>
      <c r="E62" s="1292">
        <v>6</v>
      </c>
      <c r="F62" s="1292">
        <v>68231.300185759799</v>
      </c>
    </row>
    <row r="63" spans="1:6">
      <c r="A63" s="1291" t="s">
        <v>48</v>
      </c>
      <c r="B63" s="1291" t="s">
        <v>28</v>
      </c>
      <c r="C63" s="1292">
        <v>80</v>
      </c>
      <c r="D63" s="1292">
        <v>3653955.4553263602</v>
      </c>
      <c r="E63" s="1292">
        <v>106</v>
      </c>
      <c r="F63" s="1292">
        <v>3562745.0956617901</v>
      </c>
    </row>
    <row r="64" spans="1:6">
      <c r="A64" s="1291" t="s">
        <v>55</v>
      </c>
      <c r="B64" s="1291" t="s">
        <v>56</v>
      </c>
      <c r="C64" s="1292">
        <v>0</v>
      </c>
      <c r="D64" s="1292">
        <v>0</v>
      </c>
      <c r="E64" s="1292">
        <v>0</v>
      </c>
      <c r="F64" s="1292">
        <v>0</v>
      </c>
    </row>
    <row r="65" spans="1:6">
      <c r="A65" s="1291" t="s">
        <v>55</v>
      </c>
      <c r="B65" s="1291" t="s">
        <v>28</v>
      </c>
      <c r="C65" s="1292">
        <v>1</v>
      </c>
      <c r="D65" s="1292">
        <v>9051.1495033829997</v>
      </c>
      <c r="E65" s="1292">
        <v>0</v>
      </c>
      <c r="F65" s="1292">
        <v>0</v>
      </c>
    </row>
    <row r="66" spans="1:6">
      <c r="A66" s="1291" t="s">
        <v>55</v>
      </c>
      <c r="B66" s="1291" t="s">
        <v>57</v>
      </c>
      <c r="C66" s="1292">
        <v>0</v>
      </c>
      <c r="D66" s="1292">
        <v>0</v>
      </c>
      <c r="E66" s="1292">
        <v>10</v>
      </c>
      <c r="F66" s="1292">
        <v>159658.04104685699</v>
      </c>
    </row>
    <row r="67" spans="1:6">
      <c r="A67" s="1293" t="s">
        <v>55</v>
      </c>
      <c r="B67" s="1293" t="s">
        <v>58</v>
      </c>
      <c r="C67" s="1292">
        <v>0</v>
      </c>
      <c r="D67" s="1292">
        <v>0</v>
      </c>
      <c r="E67" s="1292">
        <v>0</v>
      </c>
      <c r="F67" s="1292">
        <v>0</v>
      </c>
    </row>
    <row r="68" spans="1:6">
      <c r="A68" s="1286" t="s">
        <v>55</v>
      </c>
      <c r="B68" s="1286" t="s">
        <v>59</v>
      </c>
      <c r="C68" s="1295">
        <v>5</v>
      </c>
      <c r="D68" s="1295">
        <v>188871.663586318</v>
      </c>
      <c r="E68" s="1295">
        <v>9</v>
      </c>
      <c r="F68" s="1295">
        <v>75343.858510002203</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54858689</v>
      </c>
      <c r="E73" s="443"/>
      <c r="F73" s="324"/>
    </row>
    <row r="74" spans="1:6">
      <c r="A74" s="1291" t="s">
        <v>63</v>
      </c>
      <c r="B74" s="1291" t="s">
        <v>648</v>
      </c>
      <c r="C74" s="1305" t="s">
        <v>650</v>
      </c>
      <c r="D74" s="1306">
        <v>7121335.5</v>
      </c>
      <c r="E74" s="443"/>
      <c r="F74" s="324"/>
    </row>
    <row r="75" spans="1:6">
      <c r="A75" s="1291" t="s">
        <v>64</v>
      </c>
      <c r="B75" s="1291" t="s">
        <v>647</v>
      </c>
      <c r="C75" s="1305" t="s">
        <v>651</v>
      </c>
      <c r="D75" s="1306">
        <v>10560350</v>
      </c>
      <c r="E75" s="443"/>
      <c r="F75" s="324"/>
    </row>
    <row r="76" spans="1:6">
      <c r="A76" s="1291" t="s">
        <v>64</v>
      </c>
      <c r="B76" s="1291" t="s">
        <v>648</v>
      </c>
      <c r="C76" s="1305" t="s">
        <v>652</v>
      </c>
      <c r="D76" s="1306">
        <v>764030.5</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166245</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2473.3990256571524</v>
      </c>
      <c r="C91" s="324"/>
      <c r="D91" s="324"/>
      <c r="E91" s="324"/>
      <c r="F91" s="324"/>
    </row>
    <row r="92" spans="1:6">
      <c r="A92" s="1286" t="s">
        <v>68</v>
      </c>
      <c r="B92" s="1287">
        <v>1328.0577174973287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2052</v>
      </c>
      <c r="C97" s="324"/>
      <c r="D97" s="324"/>
      <c r="E97" s="324"/>
      <c r="F97" s="324"/>
    </row>
    <row r="98" spans="1:6">
      <c r="A98" s="1291" t="s">
        <v>71</v>
      </c>
      <c r="B98" s="1292">
        <v>2</v>
      </c>
      <c r="C98" s="324"/>
      <c r="D98" s="324"/>
      <c r="E98" s="324"/>
      <c r="F98" s="324"/>
    </row>
    <row r="99" spans="1:6">
      <c r="A99" s="1291" t="s">
        <v>72</v>
      </c>
      <c r="B99" s="1292">
        <v>59</v>
      </c>
      <c r="C99" s="324"/>
      <c r="D99" s="324"/>
      <c r="E99" s="324"/>
      <c r="F99" s="324"/>
    </row>
    <row r="100" spans="1:6">
      <c r="A100" s="1291" t="s">
        <v>73</v>
      </c>
      <c r="B100" s="1292">
        <v>288</v>
      </c>
      <c r="C100" s="324"/>
      <c r="D100" s="324"/>
      <c r="E100" s="324"/>
      <c r="F100" s="324"/>
    </row>
    <row r="101" spans="1:6">
      <c r="A101" s="1291" t="s">
        <v>74</v>
      </c>
      <c r="B101" s="1292">
        <v>90</v>
      </c>
      <c r="C101" s="324"/>
      <c r="D101" s="324"/>
      <c r="E101" s="324"/>
      <c r="F101" s="324"/>
    </row>
    <row r="102" spans="1:6">
      <c r="A102" s="1291" t="s">
        <v>75</v>
      </c>
      <c r="B102" s="1292">
        <v>91</v>
      </c>
      <c r="C102" s="324"/>
      <c r="D102" s="324"/>
      <c r="E102" s="324"/>
      <c r="F102" s="324"/>
    </row>
    <row r="103" spans="1:6">
      <c r="A103" s="1291" t="s">
        <v>76</v>
      </c>
      <c r="B103" s="1292">
        <v>141</v>
      </c>
      <c r="C103" s="324"/>
      <c r="D103" s="324"/>
      <c r="E103" s="324"/>
      <c r="F103" s="324"/>
    </row>
    <row r="104" spans="1:6">
      <c r="A104" s="1291" t="s">
        <v>77</v>
      </c>
      <c r="B104" s="1292">
        <v>1324</v>
      </c>
      <c r="C104" s="324"/>
      <c r="D104" s="324"/>
      <c r="E104" s="324"/>
      <c r="F104" s="324"/>
    </row>
    <row r="105" spans="1:6">
      <c r="A105" s="1286" t="s">
        <v>78</v>
      </c>
      <c r="B105" s="1295">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9</v>
      </c>
      <c r="C123" s="1292">
        <v>10</v>
      </c>
      <c r="D123" s="324"/>
      <c r="E123" s="324"/>
      <c r="F123" s="324"/>
    </row>
    <row r="124" spans="1:6" s="43" customFormat="1">
      <c r="A124" s="1293" t="s">
        <v>88</v>
      </c>
      <c r="B124" s="1314">
        <v>1</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143</v>
      </c>
      <c r="C129" s="324"/>
      <c r="D129" s="324"/>
      <c r="E129" s="324"/>
      <c r="F129" s="324"/>
    </row>
    <row r="130" spans="1:6">
      <c r="A130" s="1291" t="s">
        <v>289</v>
      </c>
      <c r="B130" s="1292">
        <v>3</v>
      </c>
      <c r="C130" s="324"/>
      <c r="D130" s="324"/>
      <c r="E130" s="324"/>
      <c r="F130" s="324"/>
    </row>
    <row r="131" spans="1:6">
      <c r="A131" s="1291" t="s">
        <v>290</v>
      </c>
      <c r="B131" s="1292">
        <v>7</v>
      </c>
      <c r="C131" s="324"/>
      <c r="D131" s="324"/>
      <c r="E131" s="324"/>
      <c r="F131" s="324"/>
    </row>
    <row r="132" spans="1:6">
      <c r="A132" s="1286" t="s">
        <v>291</v>
      </c>
      <c r="B132" s="1287">
        <v>10</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52492.003680956637</v>
      </c>
      <c r="C3" s="43" t="s">
        <v>169</v>
      </c>
      <c r="D3" s="43"/>
      <c r="E3" s="154"/>
      <c r="F3" s="43"/>
      <c r="G3" s="43"/>
      <c r="H3" s="43"/>
      <c r="I3" s="43"/>
      <c r="J3" s="43"/>
      <c r="K3" s="96"/>
    </row>
    <row r="4" spans="1:11">
      <c r="A4" s="352" t="s">
        <v>170</v>
      </c>
      <c r="B4" s="49">
        <f>IF(ISERROR('SEAP template'!B78+'SEAP template'!C78),0,'SEAP template'!B78+'SEAP template'!C78)</f>
        <v>25797.456743154482</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5227.2847058823536</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0.21197094412254774</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7467.5495798319334</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31422.857142857145</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0.23764705882352941</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807.62599999999998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807.62599999999998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0.21197094412254774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171.19324571791674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14625.518389737665</v>
      </c>
      <c r="C5" s="17">
        <f>IF(ISERROR('Eigen informatie GS &amp; warmtenet'!B57),0,'Eigen informatie GS &amp; warmtenet'!B57)</f>
        <v>0</v>
      </c>
      <c r="D5" s="30">
        <f>(SUM(HH_hh_gas_kWh,HH_rest_gas_kWh)/1000)*0.902</f>
        <v>41856.350571297888</v>
      </c>
      <c r="E5" s="17">
        <f>B32*B41</f>
        <v>902.13894382699993</v>
      </c>
      <c r="F5" s="17">
        <f>B36*B45</f>
        <v>22856.156981594479</v>
      </c>
      <c r="G5" s="18"/>
      <c r="H5" s="17"/>
      <c r="I5" s="17"/>
      <c r="J5" s="17">
        <f>B35*B44+C35*C44</f>
        <v>109.98126313569458</v>
      </c>
      <c r="K5" s="17"/>
      <c r="L5" s="17"/>
      <c r="M5" s="17"/>
      <c r="N5" s="17">
        <f>B34*B43+C34*C43</f>
        <v>6481.4228703170666</v>
      </c>
      <c r="O5" s="17">
        <f>B52*B53*B54</f>
        <v>239.19000000000003</v>
      </c>
      <c r="P5" s="17">
        <f>B60*B61*B62/1000-B60*B61*B62/1000/B63</f>
        <v>381.33333333333337</v>
      </c>
    </row>
    <row r="6" spans="1:16">
      <c r="A6" s="16" t="s">
        <v>613</v>
      </c>
      <c r="B6" s="756">
        <f>kWh_PV_kleiner_dan_10kW</f>
        <v>2473.3990256571524</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17098.917415394819</v>
      </c>
      <c r="C8" s="21">
        <f>C5</f>
        <v>0</v>
      </c>
      <c r="D8" s="21">
        <f>D5</f>
        <v>41856.350571297888</v>
      </c>
      <c r="E8" s="21">
        <f>E5</f>
        <v>902.13894382699993</v>
      </c>
      <c r="F8" s="21">
        <f>F5</f>
        <v>22856.156981594479</v>
      </c>
      <c r="G8" s="21"/>
      <c r="H8" s="21"/>
      <c r="I8" s="21"/>
      <c r="J8" s="21">
        <f>J5</f>
        <v>109.98126313569458</v>
      </c>
      <c r="K8" s="21"/>
      <c r="L8" s="21">
        <f>L5</f>
        <v>0</v>
      </c>
      <c r="M8" s="21">
        <f>M5</f>
        <v>0</v>
      </c>
      <c r="N8" s="21">
        <f>N5</f>
        <v>6481.4228703170666</v>
      </c>
      <c r="O8" s="21">
        <f>O5</f>
        <v>239.19000000000003</v>
      </c>
      <c r="P8" s="21">
        <f>P5</f>
        <v>381.33333333333337</v>
      </c>
    </row>
    <row r="9" spans="1:16">
      <c r="B9" s="19"/>
      <c r="C9" s="19"/>
      <c r="D9" s="254"/>
      <c r="E9" s="19"/>
      <c r="F9" s="19"/>
      <c r="G9" s="19"/>
      <c r="H9" s="19"/>
      <c r="I9" s="19"/>
      <c r="J9" s="19"/>
      <c r="K9" s="19"/>
      <c r="L9" s="19"/>
      <c r="M9" s="19"/>
      <c r="N9" s="19"/>
      <c r="O9" s="19"/>
      <c r="P9" s="19"/>
    </row>
    <row r="10" spans="1:16">
      <c r="A10" s="24" t="s">
        <v>213</v>
      </c>
      <c r="B10" s="25">
        <f ca="1">'EF ele_warmte'!B12</f>
        <v>0.21197094412254774</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3624.4736680147134</v>
      </c>
      <c r="C12" s="23">
        <f ca="1">C10*C8</f>
        <v>0</v>
      </c>
      <c r="D12" s="23">
        <f>D8*D10</f>
        <v>8454.9828154021743</v>
      </c>
      <c r="E12" s="23">
        <f>E10*E8</f>
        <v>204.78554024872898</v>
      </c>
      <c r="F12" s="23">
        <f>F10*F8</f>
        <v>6102.5939140857263</v>
      </c>
      <c r="G12" s="23"/>
      <c r="H12" s="23"/>
      <c r="I12" s="23"/>
      <c r="J12" s="23">
        <f>J10*J8</f>
        <v>38.933367150035878</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4496</v>
      </c>
      <c r="C26" s="36"/>
      <c r="D26" s="225"/>
    </row>
    <row r="27" spans="1:5" s="15" customFormat="1">
      <c r="A27" s="227" t="s">
        <v>768</v>
      </c>
      <c r="B27" s="37">
        <f>SUM(HH_hh_gas_aantal,HH_rest_gas_aantal)</f>
        <v>3079</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2925.05</v>
      </c>
      <c r="C31" s="34" t="s">
        <v>110</v>
      </c>
      <c r="D31" s="171"/>
    </row>
    <row r="32" spans="1:5">
      <c r="A32" s="168" t="s">
        <v>72</v>
      </c>
      <c r="B32" s="33">
        <f>IF((B21*($B$26-($B$27-0.05*$B$27)-$B$60))&lt;0,0,B21*($B$26-($B$27-0.05*$B$27)-$B$60))</f>
        <v>17.061216633636334</v>
      </c>
      <c r="C32" s="34" t="s">
        <v>110</v>
      </c>
      <c r="D32" s="171"/>
    </row>
    <row r="33" spans="1:6">
      <c r="A33" s="168" t="s">
        <v>73</v>
      </c>
      <c r="B33" s="33">
        <f>IF((B22*($B$26-($B$27-0.05*$B$27)-$B$60))&lt;0,0,B22*($B$26-($B$27-0.05*$B$27)-$B$60))</f>
        <v>354.7170212989659</v>
      </c>
      <c r="C33" s="34" t="s">
        <v>110</v>
      </c>
      <c r="D33" s="171"/>
    </row>
    <row r="34" spans="1:6">
      <c r="A34" s="168" t="s">
        <v>74</v>
      </c>
      <c r="B34" s="33">
        <f>IF((B24*($B$26-($B$27-0.05*$B$27)-$B$60))&lt;0,0,B24*($B$26-($B$27-0.05*$B$27)-$B$60))</f>
        <v>70.540605577987307</v>
      </c>
      <c r="C34" s="33">
        <f>B26*C24</f>
        <v>920.31120238302015</v>
      </c>
      <c r="D34" s="230"/>
    </row>
    <row r="35" spans="1:6">
      <c r="A35" s="168" t="s">
        <v>76</v>
      </c>
      <c r="B35" s="33">
        <f>IF((B19*($B$26-($B$27-0.05*$B$27)-$B$60))&lt;0,0,B19*($B$26-($B$27-0.05*$B$27)-$B$60))</f>
        <v>12.913501269114375</v>
      </c>
      <c r="C35" s="33">
        <f>B35/2</f>
        <v>6.4567506345571877</v>
      </c>
      <c r="D35" s="230"/>
    </row>
    <row r="36" spans="1:6">
      <c r="A36" s="168" t="s">
        <v>77</v>
      </c>
      <c r="B36" s="33">
        <f>IF((B18*($B$26-($B$27-0.05*$B$27)-$B$60))&lt;0,0,B18*($B$26-($B$27-0.05*$B$27)-$B$60))</f>
        <v>1095.7176552202959</v>
      </c>
      <c r="C36" s="34" t="s">
        <v>110</v>
      </c>
      <c r="D36" s="171"/>
    </row>
    <row r="37" spans="1:6">
      <c r="A37" s="168" t="s">
        <v>78</v>
      </c>
      <c r="B37" s="33">
        <f>B60</f>
        <v>20</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153</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20</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11709.022572859714</v>
      </c>
      <c r="C5" s="17">
        <f>IF(ISERROR('Eigen informatie GS &amp; warmtenet'!B58),0,'Eigen informatie GS &amp; warmtenet'!B58)</f>
        <v>0</v>
      </c>
      <c r="D5" s="30">
        <f>SUM(D6:D12)</f>
        <v>12100.127251704947</v>
      </c>
      <c r="E5" s="17">
        <f>SUM(E6:E12)</f>
        <v>212.78790271737702</v>
      </c>
      <c r="F5" s="17">
        <f>SUM(F6:F12)</f>
        <v>2065.1717443146158</v>
      </c>
      <c r="G5" s="18"/>
      <c r="H5" s="17"/>
      <c r="I5" s="17"/>
      <c r="J5" s="17">
        <f>SUM(J6:J12)</f>
        <v>2.0078690810235576E-2</v>
      </c>
      <c r="K5" s="17"/>
      <c r="L5" s="17"/>
      <c r="M5" s="17"/>
      <c r="N5" s="17">
        <f>SUM(N6:N12)</f>
        <v>815.42449800877387</v>
      </c>
      <c r="O5" s="17">
        <f>B38*B39*B40</f>
        <v>4.6900000000000004</v>
      </c>
      <c r="P5" s="17">
        <f>B46*B47*B48/1000-B46*B47*B48/1000/B49</f>
        <v>133.46666666666667</v>
      </c>
      <c r="R5" s="32"/>
    </row>
    <row r="6" spans="1:18">
      <c r="A6" s="32" t="s">
        <v>53</v>
      </c>
      <c r="B6" s="37">
        <f>B26</f>
        <v>1580.68175184488</v>
      </c>
      <c r="C6" s="33"/>
      <c r="D6" s="37">
        <f>IF(ISERROR(TER_kantoor_gas_kWh/1000),0,TER_kantoor_gas_kWh/1000)*0.902</f>
        <v>3035.3947801947156</v>
      </c>
      <c r="E6" s="33">
        <f>$C$26*'E Balans VL '!I12/100/3.6*1000000</f>
        <v>9.9071874940492924E-3</v>
      </c>
      <c r="F6" s="33">
        <f>$C$26*('E Balans VL '!L12+'E Balans VL '!N12)/100/3.6*1000000</f>
        <v>237.53229884162664</v>
      </c>
      <c r="G6" s="34"/>
      <c r="H6" s="33"/>
      <c r="I6" s="33"/>
      <c r="J6" s="33">
        <f>$C$26*('E Balans VL '!D12+'E Balans VL '!E12)/100/3.6*1000000</f>
        <v>0</v>
      </c>
      <c r="K6" s="33"/>
      <c r="L6" s="33"/>
      <c r="M6" s="33"/>
      <c r="N6" s="33">
        <f>$C$26*'E Balans VL '!Y12/100/3.6*1000000</f>
        <v>1.5116877338500778</v>
      </c>
      <c r="O6" s="33"/>
      <c r="P6" s="33"/>
      <c r="R6" s="32"/>
    </row>
    <row r="7" spans="1:18">
      <c r="A7" s="32" t="s">
        <v>52</v>
      </c>
      <c r="B7" s="37">
        <f t="shared" ref="B7:B12" si="0">B27</f>
        <v>709.76165885474097</v>
      </c>
      <c r="C7" s="33"/>
      <c r="D7" s="37">
        <f>IF(ISERROR(TER_horeca_gas_kWh/1000),0,TER_horeca_gas_kWh/1000)*0.902</f>
        <v>1072.4180807947889</v>
      </c>
      <c r="E7" s="33">
        <f>$C$27*'E Balans VL '!I9/100/3.6*1000000</f>
        <v>10.163668731076212</v>
      </c>
      <c r="F7" s="33">
        <f>$C$27*('E Balans VL '!L9+'E Balans VL '!N9)/100/3.6*1000000</f>
        <v>89.879234852365073</v>
      </c>
      <c r="G7" s="34"/>
      <c r="H7" s="33"/>
      <c r="I7" s="33"/>
      <c r="J7" s="33">
        <f>$C$27*('E Balans VL '!D9+'E Balans VL '!E9)/100/3.6*1000000</f>
        <v>0</v>
      </c>
      <c r="K7" s="33"/>
      <c r="L7" s="33"/>
      <c r="M7" s="33"/>
      <c r="N7" s="33">
        <f>$C$27*'E Balans VL '!Y9/100/3.6*1000000</f>
        <v>0.20404082801945678</v>
      </c>
      <c r="O7" s="33"/>
      <c r="P7" s="33"/>
      <c r="R7" s="32"/>
    </row>
    <row r="8" spans="1:18">
      <c r="A8" s="6" t="s">
        <v>51</v>
      </c>
      <c r="B8" s="37">
        <f t="shared" si="0"/>
        <v>4319.1481459016104</v>
      </c>
      <c r="C8" s="33"/>
      <c r="D8" s="37">
        <f>IF(ISERROR(TER_handel_gas_kWh/1000),0,TER_handel_gas_kWh/1000)*0.902</f>
        <v>1995.5105552863704</v>
      </c>
      <c r="E8" s="33">
        <f>$C$28*'E Balans VL '!I13/100/3.6*1000000</f>
        <v>156.65497063836398</v>
      </c>
      <c r="F8" s="33">
        <f>$C$28*('E Balans VL '!L13+'E Balans VL '!N13)/100/3.6*1000000</f>
        <v>831.91166705615808</v>
      </c>
      <c r="G8" s="34"/>
      <c r="H8" s="33"/>
      <c r="I8" s="33"/>
      <c r="J8" s="33">
        <f>$C$28*('E Balans VL '!D13+'E Balans VL '!E13)/100/3.6*1000000</f>
        <v>0</v>
      </c>
      <c r="K8" s="33"/>
      <c r="L8" s="33"/>
      <c r="M8" s="33"/>
      <c r="N8" s="33">
        <f>$C$28*'E Balans VL '!Y13/100/3.6*1000000</f>
        <v>5.983013973740321</v>
      </c>
      <c r="O8" s="33"/>
      <c r="P8" s="33"/>
      <c r="R8" s="32"/>
    </row>
    <row r="9" spans="1:18">
      <c r="A9" s="32" t="s">
        <v>50</v>
      </c>
      <c r="B9" s="37">
        <f t="shared" si="0"/>
        <v>940.88752433888101</v>
      </c>
      <c r="C9" s="33"/>
      <c r="D9" s="37">
        <f>IF(ISERROR(TER_gezond_gas_kWh/1000),0,TER_gezond_gas_kWh/1000)*0.902</f>
        <v>2063.5692781237558</v>
      </c>
      <c r="E9" s="33">
        <f>$C$29*'E Balans VL '!I10/100/3.6*1000000</f>
        <v>5.8908848609656034E-2</v>
      </c>
      <c r="F9" s="33">
        <f>$C$29*('E Balans VL '!L10+'E Balans VL '!N10)/100/3.6*1000000</f>
        <v>139.77170647022996</v>
      </c>
      <c r="G9" s="34"/>
      <c r="H9" s="33"/>
      <c r="I9" s="33"/>
      <c r="J9" s="33">
        <f>$C$29*('E Balans VL '!D10+'E Balans VL '!E10)/100/3.6*1000000</f>
        <v>0</v>
      </c>
      <c r="K9" s="33"/>
      <c r="L9" s="33"/>
      <c r="M9" s="33"/>
      <c r="N9" s="33">
        <f>$C$29*'E Balans VL '!Y10/100/3.6*1000000</f>
        <v>14.553739014359346</v>
      </c>
      <c r="O9" s="33"/>
      <c r="P9" s="33"/>
      <c r="R9" s="32"/>
    </row>
    <row r="10" spans="1:18">
      <c r="A10" s="32" t="s">
        <v>49</v>
      </c>
      <c r="B10" s="37">
        <f t="shared" si="0"/>
        <v>527.56709607205198</v>
      </c>
      <c r="C10" s="33"/>
      <c r="D10" s="37">
        <f>IF(ISERROR(TER_ander_gas_kWh/1000),0,TER_ander_gas_kWh/1000)*0.902</f>
        <v>318.91812662327982</v>
      </c>
      <c r="E10" s="33">
        <f>$C$30*'E Balans VL '!I14/100/3.6*1000000</f>
        <v>0.62884112645531121</v>
      </c>
      <c r="F10" s="33">
        <f>$C$30*('E Balans VL '!L14+'E Balans VL '!N14)/100/3.6*1000000</f>
        <v>138.03500612340571</v>
      </c>
      <c r="G10" s="34"/>
      <c r="H10" s="33"/>
      <c r="I10" s="33"/>
      <c r="J10" s="33">
        <f>$C$30*('E Balans VL '!D14+'E Balans VL '!E14)/100/3.6*1000000</f>
        <v>1.1451413649809341E-2</v>
      </c>
      <c r="K10" s="33"/>
      <c r="L10" s="33"/>
      <c r="M10" s="33"/>
      <c r="N10" s="33">
        <f>$C$30*'E Balans VL '!Y14/100/3.6*1000000</f>
        <v>447.99706859925823</v>
      </c>
      <c r="O10" s="33"/>
      <c r="P10" s="33"/>
      <c r="R10" s="32"/>
    </row>
    <row r="11" spans="1:18">
      <c r="A11" s="32" t="s">
        <v>54</v>
      </c>
      <c r="B11" s="37">
        <f t="shared" si="0"/>
        <v>68.231300185759792</v>
      </c>
      <c r="C11" s="33"/>
      <c r="D11" s="37">
        <f>IF(ISERROR(TER_onderwijs_gas_kWh/1000),0,TER_onderwijs_gas_kWh/1000)*0.902</f>
        <v>318.44860997766091</v>
      </c>
      <c r="E11" s="33">
        <f>$C$31*'E Balans VL '!I11/100/3.6*1000000</f>
        <v>1.0295004228440978</v>
      </c>
      <c r="F11" s="33">
        <f>$C$31*('E Balans VL '!L11+'E Balans VL '!N11)/100/3.6*1000000</f>
        <v>11.955213819993533</v>
      </c>
      <c r="G11" s="34"/>
      <c r="H11" s="33"/>
      <c r="I11" s="33"/>
      <c r="J11" s="33">
        <f>$C$31*('E Balans VL '!D11+'E Balans VL '!E11)/100/3.6*1000000</f>
        <v>0</v>
      </c>
      <c r="K11" s="33"/>
      <c r="L11" s="33"/>
      <c r="M11" s="33"/>
      <c r="N11" s="33">
        <f>$C$31*'E Balans VL '!Y11/100/3.6*1000000</f>
        <v>0.1920080658637042</v>
      </c>
      <c r="O11" s="33"/>
      <c r="P11" s="33"/>
      <c r="R11" s="32"/>
    </row>
    <row r="12" spans="1:18">
      <c r="A12" s="32" t="s">
        <v>254</v>
      </c>
      <c r="B12" s="37">
        <f t="shared" si="0"/>
        <v>3562.7450956617899</v>
      </c>
      <c r="C12" s="33"/>
      <c r="D12" s="37">
        <f>IF(ISERROR(TER_rest_gas_kWh/1000),0,TER_rest_gas_kWh/1000)*0.902</f>
        <v>3295.8678207043768</v>
      </c>
      <c r="E12" s="33">
        <f>$C$32*'E Balans VL '!I8/100/3.6*1000000</f>
        <v>44.242105762533704</v>
      </c>
      <c r="F12" s="33">
        <f>$C$32*('E Balans VL '!L8+'E Balans VL '!N8)/100/3.6*1000000</f>
        <v>616.08661715083679</v>
      </c>
      <c r="G12" s="34"/>
      <c r="H12" s="33"/>
      <c r="I12" s="33"/>
      <c r="J12" s="33">
        <f>$C$32*('E Balans VL '!D8+'E Balans VL '!E8)/100/3.6*1000000</f>
        <v>8.6272771604262357E-3</v>
      </c>
      <c r="K12" s="33"/>
      <c r="L12" s="33"/>
      <c r="M12" s="33"/>
      <c r="N12" s="33">
        <f>$C$32*'E Balans VL '!Y8/100/3.6*1000000</f>
        <v>344.9829397936827</v>
      </c>
      <c r="O12" s="33"/>
      <c r="P12" s="33"/>
      <c r="R12" s="32"/>
    </row>
    <row r="13" spans="1:18">
      <c r="A13" s="16" t="s">
        <v>480</v>
      </c>
      <c r="B13" s="243">
        <f ca="1">'lokale energieproductie'!N39+'lokale energieproductie'!N32</f>
        <v>0</v>
      </c>
      <c r="C13" s="243">
        <f ca="1">'lokale energieproductie'!O39+'lokale energieproductie'!O32</f>
        <v>0</v>
      </c>
      <c r="D13" s="302">
        <f ca="1">('lokale energieproductie'!P32+'lokale energieproductie'!P39)*(-1)</f>
        <v>0</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11709.022572859714</v>
      </c>
      <c r="C16" s="21">
        <f t="shared" ca="1" si="1"/>
        <v>0</v>
      </c>
      <c r="D16" s="21">
        <f t="shared" ca="1" si="1"/>
        <v>12100.127251704947</v>
      </c>
      <c r="E16" s="21">
        <f t="shared" si="1"/>
        <v>212.78790271737702</v>
      </c>
      <c r="F16" s="21">
        <f t="shared" ca="1" si="1"/>
        <v>2065.1717443146158</v>
      </c>
      <c r="G16" s="21">
        <f t="shared" si="1"/>
        <v>0</v>
      </c>
      <c r="H16" s="21">
        <f t="shared" si="1"/>
        <v>0</v>
      </c>
      <c r="I16" s="21">
        <f t="shared" si="1"/>
        <v>0</v>
      </c>
      <c r="J16" s="21">
        <f t="shared" si="1"/>
        <v>2.0078690810235576E-2</v>
      </c>
      <c r="K16" s="21">
        <f t="shared" si="1"/>
        <v>0</v>
      </c>
      <c r="L16" s="21">
        <f t="shared" ca="1" si="1"/>
        <v>0</v>
      </c>
      <c r="M16" s="21">
        <f t="shared" si="1"/>
        <v>0</v>
      </c>
      <c r="N16" s="21">
        <f t="shared" ca="1" si="1"/>
        <v>815.42449800877387</v>
      </c>
      <c r="O16" s="21">
        <f>O5</f>
        <v>4.6900000000000004</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0.21197094412254774</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2481.9725695212969</v>
      </c>
      <c r="C20" s="23">
        <f t="shared" ref="C20:P20" ca="1" si="2">C16*C18</f>
        <v>0</v>
      </c>
      <c r="D20" s="23">
        <f t="shared" ca="1" si="2"/>
        <v>2444.2257048443994</v>
      </c>
      <c r="E20" s="23">
        <f t="shared" si="2"/>
        <v>48.302853916844583</v>
      </c>
      <c r="F20" s="23">
        <f t="shared" ca="1" si="2"/>
        <v>551.40085573200247</v>
      </c>
      <c r="G20" s="23">
        <f t="shared" si="2"/>
        <v>0</v>
      </c>
      <c r="H20" s="23">
        <f t="shared" si="2"/>
        <v>0</v>
      </c>
      <c r="I20" s="23">
        <f t="shared" si="2"/>
        <v>0</v>
      </c>
      <c r="J20" s="23">
        <f t="shared" si="2"/>
        <v>7.1078565468233939E-3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1580.68175184488</v>
      </c>
      <c r="C26" s="39">
        <f>IF(ISERROR(B26*3.6/1000000/'E Balans VL '!Z12*100),0,B26*3.6/1000000/'E Balans VL '!Z12*100)</f>
        <v>3.3413108231844894E-2</v>
      </c>
      <c r="D26" s="233" t="s">
        <v>732</v>
      </c>
      <c r="F26" s="6"/>
    </row>
    <row r="27" spans="1:18">
      <c r="A27" s="228" t="s">
        <v>52</v>
      </c>
      <c r="B27" s="33">
        <f>IF(ISERROR(TER_horeca_ele_kWh/1000),0,TER_horeca_ele_kWh/1000)</f>
        <v>709.76165885474097</v>
      </c>
      <c r="C27" s="39">
        <f>IF(ISERROR(B27*3.6/1000000/'E Balans VL '!Z9*100),0,B27*3.6/1000000/'E Balans VL '!Z9*100)</f>
        <v>5.5950247025843641E-2</v>
      </c>
      <c r="D27" s="233" t="s">
        <v>732</v>
      </c>
      <c r="F27" s="6"/>
    </row>
    <row r="28" spans="1:18">
      <c r="A28" s="168" t="s">
        <v>51</v>
      </c>
      <c r="B28" s="33">
        <f>IF(ISERROR(TER_handel_ele_kWh/1000),0,TER_handel_ele_kWh/1000)</f>
        <v>4319.1481459016104</v>
      </c>
      <c r="C28" s="39">
        <f>IF(ISERROR(B28*3.6/1000000/'E Balans VL '!Z13*100),0,B28*3.6/1000000/'E Balans VL '!Z13*100)</f>
        <v>0.12535913050810044</v>
      </c>
      <c r="D28" s="233" t="s">
        <v>732</v>
      </c>
      <c r="F28" s="6"/>
    </row>
    <row r="29" spans="1:18">
      <c r="A29" s="228" t="s">
        <v>50</v>
      </c>
      <c r="B29" s="33">
        <f>IF(ISERROR(TER_gezond_ele_kWh/1000),0,TER_gezond_ele_kWh/1000)</f>
        <v>940.88752433888101</v>
      </c>
      <c r="C29" s="39">
        <f>IF(ISERROR(B29*3.6/1000000/'E Balans VL '!Z10*100),0,B29*3.6/1000000/'E Balans VL '!Z10*100)</f>
        <v>9.909090609384831E-2</v>
      </c>
      <c r="D29" s="233" t="s">
        <v>732</v>
      </c>
      <c r="F29" s="6"/>
    </row>
    <row r="30" spans="1:18">
      <c r="A30" s="228" t="s">
        <v>49</v>
      </c>
      <c r="B30" s="33">
        <f>IF(ISERROR(TER_ander_ele_kWh/1000),0,TER_ander_ele_kWh/1000)</f>
        <v>527.56709607205198</v>
      </c>
      <c r="C30" s="39">
        <f>IF(ISERROR(B30*3.6/1000000/'E Balans VL '!Z14*100),0,B30*3.6/1000000/'E Balans VL '!Z14*100)</f>
        <v>3.8913463593277825E-2</v>
      </c>
      <c r="D30" s="233" t="s">
        <v>732</v>
      </c>
      <c r="F30" s="6"/>
    </row>
    <row r="31" spans="1:18">
      <c r="A31" s="228" t="s">
        <v>54</v>
      </c>
      <c r="B31" s="33">
        <f>IF(ISERROR(TER_onderwijs_ele_kWh/1000),0,TER_onderwijs_ele_kWh/1000)</f>
        <v>68.231300185759792</v>
      </c>
      <c r="C31" s="39">
        <f>IF(ISERROR(B31*3.6/1000000/'E Balans VL '!Z11*100),0,B31*3.6/1000000/'E Balans VL '!Z11*100)</f>
        <v>1.6945027978452262E-2</v>
      </c>
      <c r="D31" s="233" t="s">
        <v>732</v>
      </c>
    </row>
    <row r="32" spans="1:18">
      <c r="A32" s="228" t="s">
        <v>254</v>
      </c>
      <c r="B32" s="33">
        <f>IF(ISERROR(TER_rest_ele_kWh/1000),0,TER_rest_ele_kWh/1000)</f>
        <v>3562.7450956617899</v>
      </c>
      <c r="C32" s="39">
        <f>IF(ISERROR(B32*3.6/1000000/'E Balans VL '!Z8*100),0,B32*3.6/1000000/'E Balans VL '!Z8*100)</f>
        <v>2.9316663073903813E-2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3</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7</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18516.951471148026</v>
      </c>
      <c r="C5" s="17">
        <f>IF(ISERROR('Eigen informatie GS &amp; warmtenet'!B59),0,'Eigen informatie GS &amp; warmtenet'!B59)</f>
        <v>0</v>
      </c>
      <c r="D5" s="30">
        <f>SUM(D6:D15)</f>
        <v>14886.200694542422</v>
      </c>
      <c r="E5" s="17">
        <f>SUM(E6:E15)</f>
        <v>1277.3159906220922</v>
      </c>
      <c r="F5" s="17">
        <f>SUM(F6:F15)</f>
        <v>4356.1178902702777</v>
      </c>
      <c r="G5" s="18"/>
      <c r="H5" s="17"/>
      <c r="I5" s="17"/>
      <c r="J5" s="17">
        <f>SUM(J6:J15)</f>
        <v>37.428855195325347</v>
      </c>
      <c r="K5" s="17"/>
      <c r="L5" s="17"/>
      <c r="M5" s="17"/>
      <c r="N5" s="17">
        <f>SUM(N6:N15)</f>
        <v>1286.5393765378435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271.27358491194701</v>
      </c>
      <c r="C8" s="33"/>
      <c r="D8" s="37">
        <f>IF( ISERROR(IND_metaal_Gas_kWH/1000),0,IND_metaal_Gas_kWH/1000)*0.902</f>
        <v>0</v>
      </c>
      <c r="E8" s="33">
        <f>C30*'E Balans VL '!I18/100/3.6*1000000</f>
        <v>2.4940986147454316</v>
      </c>
      <c r="F8" s="33">
        <f>C30*'E Balans VL '!L18/100/3.6*1000000+C30*'E Balans VL '!N18/100/3.6*1000000</f>
        <v>25.436430652877746</v>
      </c>
      <c r="G8" s="34"/>
      <c r="H8" s="33"/>
      <c r="I8" s="33"/>
      <c r="J8" s="40">
        <f>C30*'E Balans VL '!D18/100/3.6*1000000+C30*'E Balans VL '!E18/100/3.6*1000000</f>
        <v>0</v>
      </c>
      <c r="K8" s="33"/>
      <c r="L8" s="33"/>
      <c r="M8" s="33"/>
      <c r="N8" s="33">
        <f>C30*'E Balans VL '!Y18/100/3.6*1000000</f>
        <v>3.8701659872463097</v>
      </c>
      <c r="O8" s="33"/>
      <c r="P8" s="33"/>
      <c r="R8" s="32"/>
    </row>
    <row r="9" spans="1:18">
      <c r="A9" s="6" t="s">
        <v>32</v>
      </c>
      <c r="B9" s="37">
        <f t="shared" si="0"/>
        <v>2344.4897187495999</v>
      </c>
      <c r="C9" s="33"/>
      <c r="D9" s="37">
        <f>IF( ISERROR(IND_andere_gas_kWh/1000),0,IND_andere_gas_kWh/1000)*0.902</f>
        <v>1623.2354485482742</v>
      </c>
      <c r="E9" s="33">
        <f>C31*'E Balans VL '!I19/100/3.6*1000000</f>
        <v>685.33998662190925</v>
      </c>
      <c r="F9" s="33">
        <f>C31*'E Balans VL '!L19/100/3.6*1000000+C31*'E Balans VL '!N19/100/3.6*1000000</f>
        <v>1883.9749505807933</v>
      </c>
      <c r="G9" s="34"/>
      <c r="H9" s="33"/>
      <c r="I9" s="33"/>
      <c r="J9" s="40">
        <f>C31*'E Balans VL '!D19/100/3.6*1000000+C31*'E Balans VL '!E19/100/3.6*1000000</f>
        <v>0</v>
      </c>
      <c r="K9" s="33"/>
      <c r="L9" s="33"/>
      <c r="M9" s="33"/>
      <c r="N9" s="33">
        <f>C31*'E Balans VL '!Y19/100/3.6*1000000</f>
        <v>183.89858932576624</v>
      </c>
      <c r="O9" s="33"/>
      <c r="P9" s="33"/>
      <c r="R9" s="32"/>
    </row>
    <row r="10" spans="1:18">
      <c r="A10" s="6" t="s">
        <v>40</v>
      </c>
      <c r="B10" s="37">
        <f t="shared" si="0"/>
        <v>4655.5774457307598</v>
      </c>
      <c r="C10" s="33"/>
      <c r="D10" s="37">
        <f>IF( ISERROR(IND_voed_gas_kWh/1000),0,IND_voed_gas_kWh/1000)*0.902</f>
        <v>284.93150679148823</v>
      </c>
      <c r="E10" s="33">
        <f>C32*'E Balans VL '!I20/100/3.6*1000000</f>
        <v>9.8489462720266747</v>
      </c>
      <c r="F10" s="33">
        <f>C32*'E Balans VL '!L20/100/3.6*1000000+C32*'E Balans VL '!N20/100/3.6*1000000</f>
        <v>296.00636953246868</v>
      </c>
      <c r="G10" s="34"/>
      <c r="H10" s="33"/>
      <c r="I10" s="33"/>
      <c r="J10" s="40">
        <f>C32*'E Balans VL '!D20/100/3.6*1000000+C32*'E Balans VL '!E20/100/3.6*1000000</f>
        <v>0</v>
      </c>
      <c r="K10" s="33"/>
      <c r="L10" s="33"/>
      <c r="M10" s="33"/>
      <c r="N10" s="33">
        <f>C32*'E Balans VL '!Y20/100/3.6*1000000</f>
        <v>321.28078611623926</v>
      </c>
      <c r="O10" s="33"/>
      <c r="P10" s="33"/>
      <c r="R10" s="32"/>
    </row>
    <row r="11" spans="1:18">
      <c r="A11" s="6" t="s">
        <v>39</v>
      </c>
      <c r="B11" s="37">
        <f t="shared" si="0"/>
        <v>790.56770373011909</v>
      </c>
      <c r="C11" s="33"/>
      <c r="D11" s="37">
        <f>IF( ISERROR(IND_textiel_gas_kWh/1000),0,IND_textiel_gas_kWh/1000)*0.902</f>
        <v>0</v>
      </c>
      <c r="E11" s="33">
        <f>C33*'E Balans VL '!I21/100/3.6*1000000</f>
        <v>2.3479179200391309</v>
      </c>
      <c r="F11" s="33">
        <f>C33*'E Balans VL '!L21/100/3.6*1000000+C33*'E Balans VL '!N21/100/3.6*1000000</f>
        <v>79.869042414670659</v>
      </c>
      <c r="G11" s="34"/>
      <c r="H11" s="33"/>
      <c r="I11" s="33"/>
      <c r="J11" s="40">
        <f>C33*'E Balans VL '!D21/100/3.6*1000000+C33*'E Balans VL '!E21/100/3.6*1000000</f>
        <v>0</v>
      </c>
      <c r="K11" s="33"/>
      <c r="L11" s="33"/>
      <c r="M11" s="33"/>
      <c r="N11" s="33">
        <f>C33*'E Balans VL '!Y21/100/3.6*1000000</f>
        <v>43.6023318423183</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10455.043018025599</v>
      </c>
      <c r="C15" s="33"/>
      <c r="D15" s="37">
        <f>IF( ISERROR(IND_rest_gas_kWh/1000),0,IND_rest_gas_kWh/1000)*0.902</f>
        <v>12978.033739202659</v>
      </c>
      <c r="E15" s="33">
        <f>C37*'E Balans VL '!I15/100/3.6*1000000</f>
        <v>577.28504119337163</v>
      </c>
      <c r="F15" s="33">
        <f>C37*'E Balans VL '!L15/100/3.6*1000000+C37*'E Balans VL '!N15/100/3.6*1000000</f>
        <v>2070.8310970894677</v>
      </c>
      <c r="G15" s="34"/>
      <c r="H15" s="33"/>
      <c r="I15" s="33"/>
      <c r="J15" s="40">
        <f>C37*'E Balans VL '!D15/100/3.6*1000000+C37*'E Balans VL '!E15/100/3.6*1000000</f>
        <v>37.428855195325347</v>
      </c>
      <c r="K15" s="33"/>
      <c r="L15" s="33"/>
      <c r="M15" s="33"/>
      <c r="N15" s="33">
        <f>C37*'E Balans VL '!Y15/100/3.6*1000000</f>
        <v>733.88750326627337</v>
      </c>
      <c r="O15" s="33"/>
      <c r="P15" s="33"/>
      <c r="R15" s="32"/>
    </row>
    <row r="16" spans="1:18">
      <c r="A16" s="16" t="s">
        <v>480</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18516.951471148026</v>
      </c>
      <c r="C18" s="21">
        <f>C5+C16</f>
        <v>0</v>
      </c>
      <c r="D18" s="21">
        <f>MAX((D5+D16),0)</f>
        <v>14886.200694542422</v>
      </c>
      <c r="E18" s="21">
        <f>MAX((E5+E16),0)</f>
        <v>1277.3159906220922</v>
      </c>
      <c r="F18" s="21">
        <f>MAX((F5+F16),0)</f>
        <v>4356.1178902702777</v>
      </c>
      <c r="G18" s="21"/>
      <c r="H18" s="21"/>
      <c r="I18" s="21"/>
      <c r="J18" s="21">
        <f>MAX((J5+J16),0)</f>
        <v>37.428855195325347</v>
      </c>
      <c r="K18" s="21"/>
      <c r="L18" s="21">
        <f>MAX((L5+L16),0)</f>
        <v>0</v>
      </c>
      <c r="M18" s="21"/>
      <c r="N18" s="21">
        <f>MAX((N5+N16),0)</f>
        <v>1286.5393765378435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0.21197094412254774</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3925.0556856106464</v>
      </c>
      <c r="C22" s="23">
        <f ca="1">C18*C20</f>
        <v>0</v>
      </c>
      <c r="D22" s="23">
        <f>D18*D20</f>
        <v>3007.0125402975696</v>
      </c>
      <c r="E22" s="23">
        <f>E18*E20</f>
        <v>289.95072987121495</v>
      </c>
      <c r="F22" s="23">
        <f>F18*F20</f>
        <v>1163.0834767021643</v>
      </c>
      <c r="G22" s="23"/>
      <c r="H22" s="23"/>
      <c r="I22" s="23"/>
      <c r="J22" s="23">
        <f>J18*J20</f>
        <v>13.249814739145172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271.27358491194701</v>
      </c>
      <c r="C30" s="39">
        <f>IF(ISERROR(B30*3.6/1000000/'E Balans VL '!Z18*100),0,B30*3.6/1000000/'E Balans VL '!Z18*100)</f>
        <v>1.5373769647926767E-2</v>
      </c>
      <c r="D30" s="233" t="s">
        <v>732</v>
      </c>
    </row>
    <row r="31" spans="1:18">
      <c r="A31" s="6" t="s">
        <v>32</v>
      </c>
      <c r="B31" s="37">
        <f>IF( ISERROR(IND_ander_ele_kWh/1000),0,IND_ander_ele_kWh/1000)</f>
        <v>2344.4897187495999</v>
      </c>
      <c r="C31" s="39">
        <f>IF(ISERROR(B31*3.6/1000000/'E Balans VL '!Z19*100),0,B31*3.6/1000000/'E Balans VL '!Z19*100)</f>
        <v>0.10633629135720257</v>
      </c>
      <c r="D31" s="233" t="s">
        <v>732</v>
      </c>
    </row>
    <row r="32" spans="1:18">
      <c r="A32" s="168" t="s">
        <v>40</v>
      </c>
      <c r="B32" s="37">
        <f>IF( ISERROR(IND_voed_ele_kWh/1000),0,IND_voed_ele_kWh/1000)</f>
        <v>4655.5774457307598</v>
      </c>
      <c r="C32" s="39">
        <f>IF(ISERROR(B32*3.6/1000000/'E Balans VL '!Z20*100),0,B32*3.6/1000000/'E Balans VL '!Z20*100)</f>
        <v>0.14401814493355095</v>
      </c>
      <c r="D32" s="233" t="s">
        <v>732</v>
      </c>
    </row>
    <row r="33" spans="1:5">
      <c r="A33" s="168" t="s">
        <v>39</v>
      </c>
      <c r="B33" s="37">
        <f>IF( ISERROR(IND_textiel_ele_kWh/1000),0,IND_textiel_ele_kWh/1000)</f>
        <v>790.56770373011909</v>
      </c>
      <c r="C33" s="39">
        <f>IF(ISERROR(B33*3.6/1000000/'E Balans VL '!Z21*100),0,B33*3.6/1000000/'E Balans VL '!Z21*100)</f>
        <v>0.10308124095891441</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10455.043018025599</v>
      </c>
      <c r="C37" s="39">
        <f>IF(ISERROR(B37*3.6/1000000/'E Balans VL '!Z15*100),0,B37*3.6/1000000/'E Balans VL '!Z15*100)</f>
        <v>8.2869055931826141E-2</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3565.7404880506051</v>
      </c>
      <c r="C5" s="17">
        <f>'Eigen informatie GS &amp; warmtenet'!B60</f>
        <v>0</v>
      </c>
      <c r="D5" s="30">
        <f>IF(ISERROR(SUM(LB_lb_gas_kWh,LB_rest_gas_kWh)/1000),0,SUM(LB_lb_gas_kWh,LB_rest_gas_kWh)/1000)*0.902</f>
        <v>73226.209339268942</v>
      </c>
      <c r="E5" s="17">
        <f>B17*'E Balans VL '!I25/3.6*1000000/100</f>
        <v>104.80800397231661</v>
      </c>
      <c r="F5" s="17">
        <f>B17*('E Balans VL '!L25/3.6*1000000+'E Balans VL '!N25/3.6*1000000)/100</f>
        <v>14854.682190716303</v>
      </c>
      <c r="G5" s="18"/>
      <c r="H5" s="17"/>
      <c r="I5" s="17"/>
      <c r="J5" s="17">
        <f>('E Balans VL '!D25+'E Balans VL '!E25)/3.6*1000000*landbouw!B17/100</f>
        <v>516.59922156500465</v>
      </c>
      <c r="K5" s="17"/>
      <c r="L5" s="17">
        <f>L6*(-1)</f>
        <v>0</v>
      </c>
      <c r="M5" s="17"/>
      <c r="N5" s="17">
        <f>N6*(-1)</f>
        <v>0</v>
      </c>
      <c r="O5" s="17"/>
      <c r="P5" s="17"/>
      <c r="R5" s="32"/>
    </row>
    <row r="6" spans="1:18">
      <c r="A6" s="16" t="s">
        <v>480</v>
      </c>
      <c r="B6" s="17" t="s">
        <v>210</v>
      </c>
      <c r="C6" s="17">
        <f>'lokale energieproductie'!O40+'lokale energieproductie'!O33</f>
        <v>31422.857142857145</v>
      </c>
      <c r="D6" s="302">
        <f>('lokale energieproductie'!P33+'lokale energieproductie'!P40)*(-1)</f>
        <v>-62845.71428571429</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3565.7404880506051</v>
      </c>
      <c r="C8" s="21">
        <f>C5+C6</f>
        <v>31422.857142857145</v>
      </c>
      <c r="D8" s="21">
        <f>MAX((D5+D6),0)</f>
        <v>10380.495053554652</v>
      </c>
      <c r="E8" s="21">
        <f>MAX((E5+E6),0)</f>
        <v>104.80800397231661</v>
      </c>
      <c r="F8" s="21">
        <f>MAX((F5+F6),0)</f>
        <v>14854.682190716303</v>
      </c>
      <c r="G8" s="21"/>
      <c r="H8" s="21"/>
      <c r="I8" s="21"/>
      <c r="J8" s="21">
        <f>MAX((J5+J6),0)</f>
        <v>516.59922156500465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0.21197094412254774</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755.83337774808092</v>
      </c>
      <c r="C12" s="23">
        <f ca="1">C8*C10</f>
        <v>7467.5495798319334</v>
      </c>
      <c r="D12" s="23">
        <f>D8*D10</f>
        <v>2096.8600008180397</v>
      </c>
      <c r="E12" s="23">
        <f>E8*E10</f>
        <v>23.791416901715873</v>
      </c>
      <c r="F12" s="23">
        <f>F8*F10</f>
        <v>3966.200144921253</v>
      </c>
      <c r="G12" s="23"/>
      <c r="H12" s="23"/>
      <c r="I12" s="23"/>
      <c r="J12" s="23">
        <f>J8*J10</f>
        <v>182.87612443401164</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0.5059897624239883</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53.785202820935687</v>
      </c>
      <c r="C26" s="243">
        <f>B26*'GWP N2O_CH4'!B5</f>
        <v>1129.4892592396495</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50.088601531451765</v>
      </c>
      <c r="C27" s="243">
        <f>B27*'GWP N2O_CH4'!B5</f>
        <v>1051.8606321604871</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1.4304382934981437</v>
      </c>
      <c r="C28" s="243">
        <f>B28*'GWP N2O_CH4'!B4</f>
        <v>443.43587098442453</v>
      </c>
      <c r="D28" s="50"/>
    </row>
    <row r="29" spans="1:4">
      <c r="A29" s="41" t="s">
        <v>271</v>
      </c>
      <c r="B29" s="243">
        <f>B34*'ha_N2O bodem landbouw'!B4</f>
        <v>4.8723282371293664</v>
      </c>
      <c r="C29" s="243">
        <f>B29*'GWP N2O_CH4'!B4</f>
        <v>1510.4217535101036</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1.111848512922843E-3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1.2302676080625579E-4</v>
      </c>
      <c r="C5" s="431" t="s">
        <v>210</v>
      </c>
      <c r="D5" s="416">
        <f>SUM(D6:D11)</f>
        <v>2.1457451841946221E-4</v>
      </c>
      <c r="E5" s="416">
        <f>SUM(E6:E11)</f>
        <v>3.7360538685975907E-4</v>
      </c>
      <c r="F5" s="429" t="s">
        <v>210</v>
      </c>
      <c r="G5" s="416">
        <f>SUM(G6:G11)</f>
        <v>0.18511106556407547</v>
      </c>
      <c r="H5" s="416">
        <f>SUM(H6:H11)</f>
        <v>3.4493258394309771E-2</v>
      </c>
      <c r="I5" s="431" t="s">
        <v>210</v>
      </c>
      <c r="J5" s="431" t="s">
        <v>210</v>
      </c>
      <c r="K5" s="431" t="s">
        <v>210</v>
      </c>
      <c r="L5" s="431" t="s">
        <v>210</v>
      </c>
      <c r="M5" s="416">
        <f>SUM(M6:M11)</f>
        <v>1.1830677737760842E-2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9.6224671360577624E-5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1.6177059359879047E-4</v>
      </c>
      <c r="E6" s="859">
        <f>vkm_GW_PW*SUMIFS(TableVerdeelsleutelVkm[LPG],TableVerdeelsleutelVkm[Voertuigtype],"Lichte voertuigen")*SUMIFS(TableECFTransport[EnergieConsumptieFactor (PJ per km)],TableECFTransport[Index],CONCATENATE($A6,"_LPG_LPG"))</f>
        <v>2.846367452933296E-4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8.4450898205795349E-2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2.6136239942556188E-2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5.7035533756758317E-3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2.0828868544195557E-6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6.6903197666195027E-2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1.0915649233382401E-6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3.9088557102694875E-3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2.4495734804236692E-5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5.280392482067174E-5</v>
      </c>
      <c r="E8" s="419">
        <f>vkm_NGW_PW*SUMIFS(TableVerdeelsleutelVkm[LPG],TableVerdeelsleutelVkm[Voertuigtype],"Lichte voertuigen")*SUMIFS(TableECFTransport[EnergieConsumptieFactor (PJ per km)],TableECFTransport[Index],CONCATENATE($A8,"_LPG_LPG"))</f>
        <v>8.8968641566429464E-5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2.4547275890906377E-2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8.3557855304983719E-3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1.6801875447962939E-3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2.2346778702191467E-7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9.2096938011786943E-3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1.4135633186853882E-7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5.3808110701922826E-4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34.17410022395994</v>
      </c>
      <c r="C14" s="21"/>
      <c r="D14" s="21">
        <f t="shared" ref="D14:M14" si="0">((D5)*10^9/3600)+D12</f>
        <v>59.604032894295052</v>
      </c>
      <c r="E14" s="21">
        <f t="shared" si="0"/>
        <v>103.77927412771085</v>
      </c>
      <c r="F14" s="21"/>
      <c r="G14" s="21">
        <f t="shared" si="0"/>
        <v>51419.740434465406</v>
      </c>
      <c r="H14" s="21">
        <f t="shared" si="0"/>
        <v>9581.4606650860478</v>
      </c>
      <c r="I14" s="21"/>
      <c r="J14" s="21"/>
      <c r="K14" s="21"/>
      <c r="L14" s="21"/>
      <c r="M14" s="21">
        <f t="shared" si="0"/>
        <v>3286.2993716002338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0.21197094412254774</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7.2439162890113584</v>
      </c>
      <c r="C18" s="23"/>
      <c r="D18" s="23">
        <f t="shared" ref="D18:M18" si="1">D14*D16</f>
        <v>12.040014644647602</v>
      </c>
      <c r="E18" s="23">
        <f t="shared" si="1"/>
        <v>23.557895226990365</v>
      </c>
      <c r="F18" s="23"/>
      <c r="G18" s="23">
        <f t="shared" si="1"/>
        <v>13729.070696002264</v>
      </c>
      <c r="H18" s="23">
        <f t="shared" si="1"/>
        <v>2385.7837056064259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2.1927410680399652E-5</v>
      </c>
      <c r="C50" s="313">
        <f t="shared" ref="C50:P50" si="2">SUM(C51:C52)</f>
        <v>0</v>
      </c>
      <c r="D50" s="313">
        <f t="shared" si="2"/>
        <v>0</v>
      </c>
      <c r="E50" s="313">
        <f t="shared" si="2"/>
        <v>0</v>
      </c>
      <c r="F50" s="313">
        <f t="shared" si="2"/>
        <v>0</v>
      </c>
      <c r="G50" s="313">
        <f t="shared" si="2"/>
        <v>2.0598625842220583E-3</v>
      </c>
      <c r="H50" s="313">
        <f t="shared" si="2"/>
        <v>0</v>
      </c>
      <c r="I50" s="313">
        <f t="shared" si="2"/>
        <v>0</v>
      </c>
      <c r="J50" s="313">
        <f t="shared" si="2"/>
        <v>0</v>
      </c>
      <c r="K50" s="313">
        <f t="shared" si="2"/>
        <v>0</v>
      </c>
      <c r="L50" s="313">
        <f t="shared" si="2"/>
        <v>0</v>
      </c>
      <c r="M50" s="313">
        <f t="shared" si="2"/>
        <v>1.186213014549279E-4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2.1927410680399652E-5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2.0598625842220583E-3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1.186213014549279E-4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6.0909474112221256</v>
      </c>
      <c r="C54" s="21">
        <f t="shared" ref="C54:P54" si="3">(C50)*10^9/3600</f>
        <v>0</v>
      </c>
      <c r="D54" s="21">
        <f t="shared" si="3"/>
        <v>0</v>
      </c>
      <c r="E54" s="21">
        <f t="shared" si="3"/>
        <v>0</v>
      </c>
      <c r="F54" s="21">
        <f t="shared" si="3"/>
        <v>0</v>
      </c>
      <c r="G54" s="21">
        <f t="shared" si="3"/>
        <v>572.18405117279394</v>
      </c>
      <c r="H54" s="21">
        <f t="shared" si="3"/>
        <v>0</v>
      </c>
      <c r="I54" s="21">
        <f t="shared" si="3"/>
        <v>0</v>
      </c>
      <c r="J54" s="21">
        <f t="shared" si="3"/>
        <v>0</v>
      </c>
      <c r="K54" s="21">
        <f t="shared" si="3"/>
        <v>0</v>
      </c>
      <c r="L54" s="21">
        <f t="shared" si="3"/>
        <v>0</v>
      </c>
      <c r="M54" s="21">
        <f t="shared" si="3"/>
        <v>32.950361515257754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0.21197094412254774</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1.291103873357542</v>
      </c>
      <c r="C58" s="23">
        <f t="shared" ref="C58:P58" ca="1" si="4">C54*C56</f>
        <v>0</v>
      </c>
      <c r="D58" s="23">
        <f t="shared" si="4"/>
        <v>0</v>
      </c>
      <c r="E58" s="23">
        <f t="shared" si="4"/>
        <v>0</v>
      </c>
      <c r="F58" s="23">
        <f t="shared" si="4"/>
        <v>0</v>
      </c>
      <c r="G58" s="23">
        <f t="shared" si="4"/>
        <v>152.77314166313599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3801.456743154481</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N30</f>
        <v>21996</v>
      </c>
      <c r="C8" s="538">
        <f>B49</f>
        <v>25877.647058823532</v>
      </c>
      <c r="D8" s="1004"/>
      <c r="E8" s="1004">
        <f>E49</f>
        <v>0</v>
      </c>
      <c r="F8" s="1005"/>
      <c r="G8" s="539"/>
      <c r="H8" s="1004">
        <f>I49</f>
        <v>0</v>
      </c>
      <c r="I8" s="1004">
        <f>G49+F49</f>
        <v>0</v>
      </c>
      <c r="J8" s="1004">
        <f>H49+D49+C49</f>
        <v>0</v>
      </c>
      <c r="K8" s="1004"/>
      <c r="L8" s="1004"/>
      <c r="M8" s="1004"/>
      <c r="N8" s="540"/>
      <c r="O8" s="541">
        <f>C8*$C$12+D8*$D$12+E8*$E$12+F8*$F$12+G8*$G$12+H8*$H$12+I8*$I$12+J8*$J$12</f>
        <v>5227.2847058823536</v>
      </c>
      <c r="P8" s="1248"/>
      <c r="Q8" s="1249"/>
      <c r="S8" s="967"/>
      <c r="T8" s="1223"/>
      <c r="U8" s="1223"/>
    </row>
    <row r="9" spans="1:21" s="527" customFormat="1" ht="17.45" customHeight="1" thickBot="1">
      <c r="A9" s="542" t="s">
        <v>242</v>
      </c>
      <c r="B9" s="543">
        <f>N37+'Eigen informatie GS &amp; warmtenet'!B12</f>
        <v>0</v>
      </c>
      <c r="C9" s="544">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25797.456743154482</v>
      </c>
      <c r="C10" s="551">
        <f t="shared" ref="C10:L10" si="0">SUM(C8:C9)</f>
        <v>25877.647058823532</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5227.2847058823536</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O30</f>
        <v>31422.857142857145</v>
      </c>
      <c r="C17" s="563">
        <f>B50</f>
        <v>36968.067226890758</v>
      </c>
      <c r="D17" s="564"/>
      <c r="E17" s="564">
        <f>E50</f>
        <v>0</v>
      </c>
      <c r="F17" s="1010"/>
      <c r="G17" s="565"/>
      <c r="H17" s="563">
        <f>I50</f>
        <v>0</v>
      </c>
      <c r="I17" s="564">
        <f>G50+F50</f>
        <v>0</v>
      </c>
      <c r="J17" s="564">
        <f>H50+D50+C50</f>
        <v>0</v>
      </c>
      <c r="K17" s="564"/>
      <c r="L17" s="564"/>
      <c r="M17" s="564"/>
      <c r="N17" s="1011"/>
      <c r="O17" s="566">
        <f>C17*$C$22+E17*$E$22+H17*$H$22+I17*$I$22+J17*$J$22+D17*$D$22+F17*$F$22+G17*$G$22+K17*$K$22+L17*$L$22</f>
        <v>7467.5495798319334</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31422.857142857145</v>
      </c>
      <c r="C20" s="550">
        <f>SUM(C17:C19)</f>
        <v>36968.067226890758</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7467.5495798319334</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36007</v>
      </c>
      <c r="C28" s="764">
        <v>8770</v>
      </c>
      <c r="D28" s="621" t="s">
        <v>902</v>
      </c>
      <c r="E28" s="620" t="s">
        <v>903</v>
      </c>
      <c r="F28" s="620" t="s">
        <v>904</v>
      </c>
      <c r="G28" s="620" t="s">
        <v>905</v>
      </c>
      <c r="H28" s="620" t="s">
        <v>906</v>
      </c>
      <c r="I28" s="620" t="s">
        <v>903</v>
      </c>
      <c r="J28" s="763">
        <v>41810</v>
      </c>
      <c r="K28" s="763">
        <v>40550</v>
      </c>
      <c r="L28" s="620" t="s">
        <v>907</v>
      </c>
      <c r="M28" s="620">
        <v>3488</v>
      </c>
      <c r="N28" s="620">
        <v>15696</v>
      </c>
      <c r="O28" s="620">
        <v>22422.857142857145</v>
      </c>
      <c r="P28" s="620">
        <v>44845.71428571429</v>
      </c>
      <c r="Q28" s="620">
        <v>0</v>
      </c>
      <c r="R28" s="620">
        <v>0</v>
      </c>
      <c r="S28" s="620">
        <v>0</v>
      </c>
      <c r="T28" s="620">
        <v>0</v>
      </c>
      <c r="U28" s="620">
        <v>0</v>
      </c>
      <c r="V28" s="620">
        <v>0</v>
      </c>
      <c r="W28" s="620">
        <v>0</v>
      </c>
      <c r="X28" s="620">
        <v>10</v>
      </c>
      <c r="Y28" s="620" t="s">
        <v>111</v>
      </c>
      <c r="Z28" s="622" t="s">
        <v>111</v>
      </c>
    </row>
    <row r="29" spans="1:26" s="574" customFormat="1" ht="25.5">
      <c r="A29" s="573"/>
      <c r="B29" s="764">
        <v>36007</v>
      </c>
      <c r="C29" s="764">
        <v>8770</v>
      </c>
      <c r="D29" s="621" t="s">
        <v>908</v>
      </c>
      <c r="E29" s="620" t="s">
        <v>909</v>
      </c>
      <c r="F29" s="620" t="s">
        <v>910</v>
      </c>
      <c r="G29" s="620" t="s">
        <v>905</v>
      </c>
      <c r="H29" s="620" t="s">
        <v>906</v>
      </c>
      <c r="I29" s="620" t="s">
        <v>909</v>
      </c>
      <c r="J29" s="763">
        <v>40681</v>
      </c>
      <c r="K29" s="763">
        <v>40681</v>
      </c>
      <c r="L29" s="620" t="s">
        <v>907</v>
      </c>
      <c r="M29" s="620">
        <v>1400</v>
      </c>
      <c r="N29" s="620">
        <v>6300</v>
      </c>
      <c r="O29" s="620">
        <v>9000</v>
      </c>
      <c r="P29" s="620">
        <v>18000</v>
      </c>
      <c r="Q29" s="620">
        <v>0</v>
      </c>
      <c r="R29" s="620">
        <v>0</v>
      </c>
      <c r="S29" s="620">
        <v>0</v>
      </c>
      <c r="T29" s="620">
        <v>0</v>
      </c>
      <c r="U29" s="620">
        <v>0</v>
      </c>
      <c r="V29" s="620">
        <v>0</v>
      </c>
      <c r="W29" s="620">
        <v>0</v>
      </c>
      <c r="X29" s="620">
        <v>10</v>
      </c>
      <c r="Y29" s="620" t="s">
        <v>111</v>
      </c>
      <c r="Z29" s="622" t="s">
        <v>111</v>
      </c>
    </row>
    <row r="30" spans="1:26" s="558" customFormat="1">
      <c r="A30" s="576" t="s">
        <v>274</v>
      </c>
      <c r="B30" s="577"/>
      <c r="C30" s="577"/>
      <c r="D30" s="577"/>
      <c r="E30" s="577"/>
      <c r="F30" s="577"/>
      <c r="G30" s="577"/>
      <c r="H30" s="577"/>
      <c r="I30" s="577"/>
      <c r="J30" s="577"/>
      <c r="K30" s="577"/>
      <c r="L30" s="578"/>
      <c r="M30" s="578">
        <f>SUM(M28:M29)</f>
        <v>4888</v>
      </c>
      <c r="N30" s="578">
        <f>SUM(N28:N29)</f>
        <v>21996</v>
      </c>
      <c r="O30" s="578">
        <f>SUM(O28:O29)</f>
        <v>31422.857142857145</v>
      </c>
      <c r="P30" s="578">
        <f>SUM(P28:P29)</f>
        <v>62845.71428571429</v>
      </c>
      <c r="Q30" s="578">
        <f>SUM(Q28:Q29)</f>
        <v>0</v>
      </c>
      <c r="R30" s="578">
        <f>SUM(R28:R29)</f>
        <v>0</v>
      </c>
      <c r="S30" s="578">
        <f>SUM(S28:S29)</f>
        <v>0</v>
      </c>
      <c r="T30" s="578">
        <f>SUM(T28:T29)</f>
        <v>0</v>
      </c>
      <c r="U30" s="578">
        <f>SUM(U28:U29)</f>
        <v>0</v>
      </c>
      <c r="V30" s="578">
        <f>SUM(V28:V29)</f>
        <v>0</v>
      </c>
      <c r="W30" s="578">
        <f>SUM(W28:W29)</f>
        <v>0</v>
      </c>
      <c r="X30" s="579"/>
      <c r="Y30" s="579"/>
      <c r="Z30" s="580"/>
    </row>
    <row r="31" spans="1:26" s="558" customFormat="1">
      <c r="A31" s="576" t="s">
        <v>281</v>
      </c>
      <c r="B31" s="577"/>
      <c r="C31" s="577"/>
      <c r="D31" s="577"/>
      <c r="E31" s="577"/>
      <c r="F31" s="577"/>
      <c r="G31" s="577"/>
      <c r="H31" s="577"/>
      <c r="I31" s="577"/>
      <c r="J31" s="577"/>
      <c r="K31" s="577"/>
      <c r="L31" s="578"/>
      <c r="M31" s="578">
        <f>SUMIF($Z$28:$Z$29,"industrie",M28:M29)</f>
        <v>0</v>
      </c>
      <c r="N31" s="578">
        <f>SUMIF($Z$28:$Z$29,"industrie",N28:N29)</f>
        <v>0</v>
      </c>
      <c r="O31" s="578">
        <f>SUMIF($Z$28:$Z$29,"industrie",O28:O29)</f>
        <v>0</v>
      </c>
      <c r="P31" s="578">
        <f>SUMIF($Z$28:$Z$29,"industrie",P28:P29)</f>
        <v>0</v>
      </c>
      <c r="Q31" s="578">
        <f>SUMIF($Z$28:$Z$29,"industrie",Q28:Q29)</f>
        <v>0</v>
      </c>
      <c r="R31" s="578">
        <f>SUMIF($Z$28:$Z$29,"industrie",R28:R29)</f>
        <v>0</v>
      </c>
      <c r="S31" s="578">
        <f>SUMIF($Z$28:$Z$29,"industrie",S28:S29)</f>
        <v>0</v>
      </c>
      <c r="T31" s="578">
        <f>SUMIF($Z$28:$Z$29,"industrie",T28:T29)</f>
        <v>0</v>
      </c>
      <c r="U31" s="578">
        <f>SUMIF($Z$28:$Z$29,"industrie",U28:U29)</f>
        <v>0</v>
      </c>
      <c r="V31" s="578">
        <f>SUMIF($Z$28:$Z$29,"industrie",V28:V29)</f>
        <v>0</v>
      </c>
      <c r="W31" s="578">
        <f>SUMIF($Z$28:$Z$29,"industrie",W28:W29)</f>
        <v>0</v>
      </c>
      <c r="X31" s="579"/>
      <c r="Y31" s="579"/>
      <c r="Z31" s="580"/>
    </row>
    <row r="32" spans="1:26" s="558" customFormat="1">
      <c r="A32" s="576" t="s">
        <v>282</v>
      </c>
      <c r="B32" s="577"/>
      <c r="C32" s="577"/>
      <c r="D32" s="577"/>
      <c r="E32" s="577"/>
      <c r="F32" s="577"/>
      <c r="G32" s="577"/>
      <c r="H32" s="577"/>
      <c r="I32" s="577"/>
      <c r="J32" s="577"/>
      <c r="K32" s="577"/>
      <c r="L32" s="578"/>
      <c r="M32" s="578">
        <f ca="1">SUMIF($Z$28:AC29,"tertiair",M28:M29)</f>
        <v>0</v>
      </c>
      <c r="N32" s="578">
        <f ca="1">SUMIF($Z$28:AD29,"tertiair",N28:N29)</f>
        <v>0</v>
      </c>
      <c r="O32" s="578">
        <f ca="1">SUMIF($Z$28:AE29,"tertiair",O28:O29)</f>
        <v>0</v>
      </c>
      <c r="P32" s="578">
        <f ca="1">SUMIF($Z$28:AF29,"tertiair",P28:P29)</f>
        <v>0</v>
      </c>
      <c r="Q32" s="578">
        <f ca="1">SUMIF($Z$28:AG29,"tertiair",Q28:Q29)</f>
        <v>0</v>
      </c>
      <c r="R32" s="578">
        <f ca="1">SUMIF($Z$28:AH29,"tertiair",R28:R29)</f>
        <v>0</v>
      </c>
      <c r="S32" s="578">
        <f ca="1">SUMIF($Z$28:AI29,"tertiair",S28:S29)</f>
        <v>0</v>
      </c>
      <c r="T32" s="578">
        <f ca="1">SUMIF($Z$28:AJ29,"tertiair",T28:T29)</f>
        <v>0</v>
      </c>
      <c r="U32" s="578">
        <f ca="1">SUMIF($Z$28:AK29,"tertiair",U28:U29)</f>
        <v>0</v>
      </c>
      <c r="V32" s="578">
        <f ca="1">SUMIF($Z$28:AL29,"tertiair",V28:V29)</f>
        <v>0</v>
      </c>
      <c r="W32" s="578">
        <f ca="1">SUMIF($Z$28:AM29,"tertiair",W28:W29)</f>
        <v>0</v>
      </c>
      <c r="X32" s="579"/>
      <c r="Y32" s="579"/>
      <c r="Z32" s="580"/>
    </row>
    <row r="33" spans="1:27" s="558" customFormat="1" ht="15.75" thickBot="1">
      <c r="A33" s="581" t="s">
        <v>283</v>
      </c>
      <c r="B33" s="582"/>
      <c r="C33" s="582"/>
      <c r="D33" s="582"/>
      <c r="E33" s="582"/>
      <c r="F33" s="582"/>
      <c r="G33" s="582"/>
      <c r="H33" s="582"/>
      <c r="I33" s="582"/>
      <c r="J33" s="582"/>
      <c r="K33" s="582"/>
      <c r="L33" s="583"/>
      <c r="M33" s="583">
        <f>SUMIF($Z$28:$Z$29,"landbouw",M28:M29)</f>
        <v>4888</v>
      </c>
      <c r="N33" s="583">
        <f>SUMIF($Z$28:$Z$29,"landbouw",N28:N29)</f>
        <v>21996</v>
      </c>
      <c r="O33" s="583">
        <f>SUMIF($Z$28:$Z$29,"landbouw",O28:O29)</f>
        <v>31422.857142857145</v>
      </c>
      <c r="P33" s="583">
        <f>SUMIF($Z$28:$Z$29,"landbouw",P28:P29)</f>
        <v>62845.71428571429</v>
      </c>
      <c r="Q33" s="583">
        <f>SUMIF($Z$28:$Z$29,"landbouw",Q28:Q29)</f>
        <v>0</v>
      </c>
      <c r="R33" s="583">
        <f>SUMIF($Z$28:$Z$29,"landbouw",R28:R29)</f>
        <v>0</v>
      </c>
      <c r="S33" s="583">
        <f>SUMIF($Z$28:$Z$29,"landbouw",S28:S29)</f>
        <v>0</v>
      </c>
      <c r="T33" s="583">
        <f>SUMIF($Z$28:$Z$29,"landbouw",T28:T29)</f>
        <v>0</v>
      </c>
      <c r="U33" s="583">
        <f>SUMIF($Z$28:$Z$29,"landbouw",U28:U29)</f>
        <v>0</v>
      </c>
      <c r="V33" s="583">
        <f>SUMIF($Z$28:$Z$29,"landbouw",V28:V29)</f>
        <v>0</v>
      </c>
      <c r="W33" s="583">
        <f>SUMIF($Z$28:$Z$29,"landbouw",W28:W29)</f>
        <v>0</v>
      </c>
      <c r="X33" s="584"/>
      <c r="Y33" s="584"/>
      <c r="Z33" s="585"/>
    </row>
    <row r="34" spans="1:27" s="527" customFormat="1" ht="15.75" thickBot="1">
      <c r="A34" s="586"/>
      <c r="B34" s="587"/>
      <c r="C34" s="587"/>
      <c r="D34" s="587"/>
      <c r="E34" s="587"/>
      <c r="F34" s="587"/>
      <c r="G34" s="587"/>
      <c r="H34" s="587"/>
      <c r="I34" s="587"/>
      <c r="J34" s="587"/>
      <c r="K34" s="587"/>
      <c r="L34" s="570"/>
      <c r="M34" s="570"/>
      <c r="N34" s="570"/>
      <c r="O34" s="571"/>
      <c r="P34" s="571"/>
    </row>
    <row r="35" spans="1:27" s="527" customFormat="1" ht="45">
      <c r="A35" s="588" t="s">
        <v>275</v>
      </c>
      <c r="B35" s="617" t="s">
        <v>89</v>
      </c>
      <c r="C35" s="617" t="s">
        <v>90</v>
      </c>
      <c r="D35" s="617" t="s">
        <v>91</v>
      </c>
      <c r="E35" s="617" t="s">
        <v>92</v>
      </c>
      <c r="F35" s="617" t="s">
        <v>93</v>
      </c>
      <c r="G35" s="617" t="s">
        <v>94</v>
      </c>
      <c r="H35" s="617" t="s">
        <v>95</v>
      </c>
      <c r="I35" s="617" t="s">
        <v>96</v>
      </c>
      <c r="J35" s="617" t="s">
        <v>97</v>
      </c>
      <c r="K35" s="617" t="s">
        <v>98</v>
      </c>
      <c r="L35" s="617" t="s">
        <v>99</v>
      </c>
      <c r="M35" s="618" t="s">
        <v>292</v>
      </c>
      <c r="N35" s="618" t="s">
        <v>100</v>
      </c>
      <c r="O35" s="618" t="s">
        <v>101</v>
      </c>
      <c r="P35" s="618" t="s">
        <v>526</v>
      </c>
      <c r="Q35" s="618" t="s">
        <v>102</v>
      </c>
      <c r="R35" s="618" t="s">
        <v>103</v>
      </c>
      <c r="S35" s="618" t="s">
        <v>104</v>
      </c>
      <c r="T35" s="618" t="s">
        <v>105</v>
      </c>
      <c r="U35" s="618" t="s">
        <v>106</v>
      </c>
      <c r="V35" s="618" t="s">
        <v>107</v>
      </c>
      <c r="W35" s="617" t="s">
        <v>108</v>
      </c>
      <c r="X35" s="617" t="s">
        <v>293</v>
      </c>
      <c r="Y35" s="617" t="s">
        <v>109</v>
      </c>
      <c r="Z35" s="619" t="s">
        <v>294</v>
      </c>
    </row>
    <row r="36" spans="1:27" s="589" customFormat="1" ht="12.75">
      <c r="A36" s="575"/>
      <c r="B36" s="764"/>
      <c r="C36" s="764"/>
      <c r="D36" s="623"/>
      <c r="E36" s="623"/>
      <c r="F36" s="623"/>
      <c r="G36" s="623"/>
      <c r="H36" s="623"/>
      <c r="I36" s="623"/>
      <c r="J36" s="763"/>
      <c r="K36" s="763"/>
      <c r="L36" s="623"/>
      <c r="M36" s="623"/>
      <c r="N36" s="623"/>
      <c r="O36" s="623"/>
      <c r="P36" s="623"/>
      <c r="Q36" s="623"/>
      <c r="R36" s="623"/>
      <c r="S36" s="623"/>
      <c r="T36" s="623"/>
      <c r="U36" s="623"/>
      <c r="V36" s="623"/>
      <c r="W36" s="623"/>
      <c r="X36" s="623"/>
      <c r="Y36" s="623"/>
      <c r="Z36" s="624"/>
    </row>
    <row r="37" spans="1:27" s="558" customFormat="1">
      <c r="A37" s="576" t="s">
        <v>274</v>
      </c>
      <c r="B37" s="577"/>
      <c r="C37" s="577"/>
      <c r="D37" s="577"/>
      <c r="E37" s="577"/>
      <c r="F37" s="577"/>
      <c r="G37" s="577"/>
      <c r="H37" s="577"/>
      <c r="I37" s="577"/>
      <c r="J37" s="577"/>
      <c r="K37" s="577"/>
      <c r="L37" s="578"/>
      <c r="M37" s="578">
        <f>SUM(M36:M36)</f>
        <v>0</v>
      </c>
      <c r="N37" s="578">
        <f>SUM(N36:N36)</f>
        <v>0</v>
      </c>
      <c r="O37" s="578">
        <f>SUM(O36:O36)</f>
        <v>0</v>
      </c>
      <c r="P37" s="578">
        <f>SUM(P36:P36)</f>
        <v>0</v>
      </c>
      <c r="Q37" s="578">
        <f>SUM(Q36:Q36)</f>
        <v>0</v>
      </c>
      <c r="R37" s="578">
        <f>SUM(R36:R36)</f>
        <v>0</v>
      </c>
      <c r="S37" s="578">
        <f>SUM(S36:S36)</f>
        <v>0</v>
      </c>
      <c r="T37" s="578">
        <f>SUM(T36:T36)</f>
        <v>0</v>
      </c>
      <c r="U37" s="578">
        <f>SUM(U36:U36)</f>
        <v>0</v>
      </c>
      <c r="V37" s="578">
        <f>SUM(V36:V36)</f>
        <v>0</v>
      </c>
      <c r="W37" s="578">
        <f>SUM(W36:W36)</f>
        <v>0</v>
      </c>
      <c r="X37" s="579"/>
      <c r="Y37" s="579"/>
      <c r="Z37" s="580"/>
    </row>
    <row r="38" spans="1:27" s="558" customFormat="1">
      <c r="A38" s="576" t="s">
        <v>281</v>
      </c>
      <c r="B38" s="577"/>
      <c r="C38" s="577"/>
      <c r="D38" s="577"/>
      <c r="E38" s="577"/>
      <c r="F38" s="577"/>
      <c r="G38" s="577"/>
      <c r="H38" s="577"/>
      <c r="I38" s="577"/>
      <c r="J38" s="577"/>
      <c r="K38" s="577"/>
      <c r="L38" s="578"/>
      <c r="M38" s="578">
        <f>SUMIF($Z$36:$Z$36,"industrie",M36:M36)</f>
        <v>0</v>
      </c>
      <c r="N38" s="578">
        <f>SUMIF($Z$36:$Z$36,"industrie",N36:N36)</f>
        <v>0</v>
      </c>
      <c r="O38" s="578">
        <f>SUMIF($Z$36:$Z$36,"industrie",O36:O36)</f>
        <v>0</v>
      </c>
      <c r="P38" s="578">
        <f>SUMIF($Z$36:$Z$36,"industrie",P36:P36)</f>
        <v>0</v>
      </c>
      <c r="Q38" s="578">
        <f>SUMIF($Z$36:$Z$36,"industrie",Q36:Q36)</f>
        <v>0</v>
      </c>
      <c r="R38" s="578">
        <f>SUMIF($Z$36:$Z$36,"industrie",R36:R36)</f>
        <v>0</v>
      </c>
      <c r="S38" s="578">
        <f>SUMIF($Z$36:$Z$36,"industrie",S36:S36)</f>
        <v>0</v>
      </c>
      <c r="T38" s="578">
        <f>SUMIF($Z$36:$Z$36,"industrie",T36:T36)</f>
        <v>0</v>
      </c>
      <c r="U38" s="578">
        <f>SUMIF($Z$36:$Z$36,"industrie",U36:U36)</f>
        <v>0</v>
      </c>
      <c r="V38" s="578">
        <f>SUMIF($Z$36:$Z$36,"industrie",V36:V36)</f>
        <v>0</v>
      </c>
      <c r="W38" s="578">
        <f>SUMIF($Z$36:$Z$36,"industrie",W36:W36)</f>
        <v>0</v>
      </c>
      <c r="X38" s="579"/>
      <c r="Y38" s="579"/>
      <c r="Z38" s="580"/>
    </row>
    <row r="39" spans="1:27" s="558" customFormat="1">
      <c r="A39" s="576" t="s">
        <v>282</v>
      </c>
      <c r="B39" s="577"/>
      <c r="C39" s="577"/>
      <c r="D39" s="577"/>
      <c r="E39" s="577"/>
      <c r="F39" s="577"/>
      <c r="G39" s="577"/>
      <c r="H39" s="577"/>
      <c r="I39" s="577"/>
      <c r="J39" s="577"/>
      <c r="K39" s="577"/>
      <c r="L39" s="578"/>
      <c r="M39" s="578">
        <f>SUMIF($Z$36:$Z$37,"tertiair",M36:M37)</f>
        <v>0</v>
      </c>
      <c r="N39" s="578">
        <f>SUMIF($Z$36:$Z$37,"tertiair",N36:N37)</f>
        <v>0</v>
      </c>
      <c r="O39" s="578">
        <f>SUMIF($Z$36:$Z$37,"tertiair",O36:O37)</f>
        <v>0</v>
      </c>
      <c r="P39" s="578">
        <f>SUMIF($Z$36:$Z$37,"tertiair",P36:P37)</f>
        <v>0</v>
      </c>
      <c r="Q39" s="578">
        <f>SUMIF($Z$36:$Z$37,"tertiair",Q36:Q37)</f>
        <v>0</v>
      </c>
      <c r="R39" s="578">
        <f>SUMIF($Z$36:$Z$37,"tertiair",R36:R37)</f>
        <v>0</v>
      </c>
      <c r="S39" s="578">
        <f>SUMIF($Z$36:$Z$37,"tertiair",S36:S37)</f>
        <v>0</v>
      </c>
      <c r="T39" s="578">
        <f>SUMIF($Z$36:$Z$37,"tertiair",T36:T37)</f>
        <v>0</v>
      </c>
      <c r="U39" s="578">
        <f>SUMIF($Z$36:$Z$37,"tertiair",U36:U37)</f>
        <v>0</v>
      </c>
      <c r="V39" s="578">
        <f>SUMIF($Z$36:$Z$37,"tertiair",V36:V37)</f>
        <v>0</v>
      </c>
      <c r="W39" s="578">
        <f>SUMIF($Z$36:$Z$37,"tertiair",W36:W37)</f>
        <v>0</v>
      </c>
      <c r="X39" s="579"/>
      <c r="Y39" s="579"/>
      <c r="Z39" s="580"/>
    </row>
    <row r="40" spans="1:27" s="558" customFormat="1" ht="15.75" thickBot="1">
      <c r="A40" s="581" t="s">
        <v>283</v>
      </c>
      <c r="B40" s="582"/>
      <c r="C40" s="582"/>
      <c r="D40" s="582"/>
      <c r="E40" s="582"/>
      <c r="F40" s="582"/>
      <c r="G40" s="582"/>
      <c r="H40" s="582"/>
      <c r="I40" s="582"/>
      <c r="J40" s="582"/>
      <c r="K40" s="582"/>
      <c r="L40" s="583"/>
      <c r="M40" s="583">
        <f>SUMIF($Z$36:$Z$38,"landbouw",M36:M38)</f>
        <v>0</v>
      </c>
      <c r="N40" s="583">
        <f>SUMIF($Z$36:$Z$38,"landbouw",N36:N38)</f>
        <v>0</v>
      </c>
      <c r="O40" s="583">
        <f>SUMIF($Z$36:$Z$38,"landbouw",O36:O38)</f>
        <v>0</v>
      </c>
      <c r="P40" s="583">
        <f>SUMIF($Z$36:$Z$38,"landbouw",P36:P38)</f>
        <v>0</v>
      </c>
      <c r="Q40" s="583">
        <f>SUMIF($Z$36:$Z$38,"landbouw",Q36:Q38)</f>
        <v>0</v>
      </c>
      <c r="R40" s="583">
        <f>SUMIF($Z$36:$Z$38,"landbouw",R36:R38)</f>
        <v>0</v>
      </c>
      <c r="S40" s="583">
        <f>SUMIF($Z$36:$Z$38,"landbouw",S36:S38)</f>
        <v>0</v>
      </c>
      <c r="T40" s="583">
        <f>SUMIF($Z$36:$Z$38,"landbouw",T36:T38)</f>
        <v>0</v>
      </c>
      <c r="U40" s="583">
        <f>SUMIF($Z$36:$Z$38,"landbouw",U36:U38)</f>
        <v>0</v>
      </c>
      <c r="V40" s="583">
        <f>SUMIF($Z$36:$Z$38,"landbouw",V36:V38)</f>
        <v>0</v>
      </c>
      <c r="W40" s="583">
        <f>SUMIF($Z$36:$Z$38,"landbouw",W36:W38)</f>
        <v>0</v>
      </c>
      <c r="X40" s="584"/>
      <c r="Y40" s="584"/>
      <c r="Z40" s="585"/>
    </row>
    <row r="41" spans="1:27" s="590" customForma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row>
    <row r="42" spans="1:27" s="590" customFormat="1" ht="15.75" thickBot="1">
      <c r="A42" s="586"/>
      <c r="B42" s="570"/>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row>
    <row r="43" spans="1:27">
      <c r="A43" s="591" t="s">
        <v>276</v>
      </c>
      <c r="B43" s="592"/>
      <c r="C43" s="592"/>
      <c r="D43" s="592"/>
      <c r="E43" s="592"/>
      <c r="F43" s="592"/>
      <c r="G43" s="592"/>
      <c r="H43" s="592"/>
      <c r="I43" s="593"/>
      <c r="J43" s="594"/>
      <c r="K43" s="594"/>
      <c r="L43" s="595"/>
      <c r="M43" s="595"/>
      <c r="N43" s="595"/>
      <c r="O43" s="595"/>
      <c r="P43" s="595"/>
    </row>
    <row r="44" spans="1:27">
      <c r="A44" s="597"/>
      <c r="B44" s="587"/>
      <c r="C44" s="587"/>
      <c r="D44" s="587"/>
      <c r="E44" s="587"/>
      <c r="F44" s="587"/>
      <c r="G44" s="587"/>
      <c r="H44" s="587"/>
      <c r="I44" s="598"/>
      <c r="J44" s="587"/>
      <c r="K44" s="587"/>
      <c r="L44" s="595"/>
      <c r="M44" s="595"/>
      <c r="N44" s="595"/>
      <c r="O44" s="595"/>
      <c r="P44" s="595"/>
    </row>
    <row r="45" spans="1:27">
      <c r="A45" s="599"/>
      <c r="B45" s="600" t="s">
        <v>277</v>
      </c>
      <c r="C45" s="600" t="s">
        <v>278</v>
      </c>
      <c r="D45" s="600"/>
      <c r="E45" s="600"/>
      <c r="F45" s="600"/>
      <c r="G45" s="600"/>
      <c r="H45" s="600"/>
      <c r="I45" s="601"/>
      <c r="J45" s="600"/>
      <c r="K45" s="600"/>
      <c r="L45" s="600"/>
      <c r="M45" s="600"/>
      <c r="N45" s="600"/>
      <c r="O45" s="600"/>
      <c r="P45" s="595"/>
    </row>
    <row r="46" spans="1:27">
      <c r="A46" s="597" t="s">
        <v>274</v>
      </c>
      <c r="B46" s="602">
        <f>IF(ISERROR(O30/(O30+N30)),0,O30/(O30+N30))</f>
        <v>0.58823529411764708</v>
      </c>
      <c r="C46" s="603">
        <f>IF(ISERROR(N30/(O30+N30)),0,N30/(N30+O30))</f>
        <v>0.41176470588235292</v>
      </c>
      <c r="D46" s="570"/>
      <c r="E46" s="570"/>
      <c r="F46" s="570"/>
      <c r="G46" s="570"/>
      <c r="H46" s="570"/>
      <c r="I46" s="604"/>
      <c r="J46" s="570"/>
      <c r="K46" s="570"/>
      <c r="L46" s="605"/>
      <c r="M46" s="605"/>
      <c r="N46" s="605"/>
      <c r="O46" s="605"/>
      <c r="P46" s="595"/>
    </row>
    <row r="47" spans="1:27">
      <c r="A47" s="597"/>
      <c r="B47" s="606"/>
      <c r="C47" s="606"/>
      <c r="D47" s="606"/>
      <c r="E47" s="606"/>
      <c r="F47" s="606"/>
      <c r="G47" s="606"/>
      <c r="H47" s="606"/>
      <c r="I47" s="607"/>
      <c r="J47" s="606"/>
      <c r="K47" s="606"/>
      <c r="L47" s="608"/>
      <c r="M47" s="608"/>
      <c r="N47" s="608"/>
      <c r="O47" s="608"/>
      <c r="P47" s="595"/>
    </row>
    <row r="48" spans="1:27" ht="30">
      <c r="A48" s="609"/>
      <c r="B48" s="610" t="s">
        <v>526</v>
      </c>
      <c r="C48" s="610" t="s">
        <v>102</v>
      </c>
      <c r="D48" s="610" t="s">
        <v>103</v>
      </c>
      <c r="E48" s="610" t="s">
        <v>104</v>
      </c>
      <c r="F48" s="610" t="s">
        <v>105</v>
      </c>
      <c r="G48" s="610" t="s">
        <v>106</v>
      </c>
      <c r="H48" s="610" t="s">
        <v>107</v>
      </c>
      <c r="I48" s="611" t="s">
        <v>108</v>
      </c>
      <c r="J48" s="600"/>
      <c r="K48" s="600"/>
      <c r="L48" s="608"/>
      <c r="M48" s="608"/>
      <c r="N48" s="608"/>
      <c r="O48" s="595"/>
      <c r="P48" s="595"/>
    </row>
    <row r="49" spans="1:16">
      <c r="A49" s="599" t="s">
        <v>279</v>
      </c>
      <c r="B49" s="612">
        <f t="shared" ref="B49:I49" si="2">$C$46*P30</f>
        <v>25877.647058823532</v>
      </c>
      <c r="C49" s="612">
        <f t="shared" si="2"/>
        <v>0</v>
      </c>
      <c r="D49" s="612">
        <f t="shared" si="2"/>
        <v>0</v>
      </c>
      <c r="E49" s="612">
        <f t="shared" si="2"/>
        <v>0</v>
      </c>
      <c r="F49" s="612">
        <f t="shared" si="2"/>
        <v>0</v>
      </c>
      <c r="G49" s="612">
        <f t="shared" si="2"/>
        <v>0</v>
      </c>
      <c r="H49" s="612">
        <f t="shared" si="2"/>
        <v>0</v>
      </c>
      <c r="I49" s="613">
        <f t="shared" si="2"/>
        <v>0</v>
      </c>
      <c r="J49" s="570"/>
      <c r="K49" s="570"/>
      <c r="L49" s="608"/>
      <c r="M49" s="608"/>
      <c r="N49" s="608"/>
      <c r="O49" s="595"/>
      <c r="P49" s="595"/>
    </row>
    <row r="50" spans="1:16" ht="15.75" thickBot="1">
      <c r="A50" s="614" t="s">
        <v>280</v>
      </c>
      <c r="B50" s="615">
        <f t="shared" ref="B50:I50" si="3">$B$46*P30</f>
        <v>36968.067226890758</v>
      </c>
      <c r="C50" s="615">
        <f t="shared" si="3"/>
        <v>0</v>
      </c>
      <c r="D50" s="615">
        <f t="shared" si="3"/>
        <v>0</v>
      </c>
      <c r="E50" s="615">
        <f t="shared" si="3"/>
        <v>0</v>
      </c>
      <c r="F50" s="615">
        <f t="shared" si="3"/>
        <v>0</v>
      </c>
      <c r="G50" s="615">
        <f t="shared" si="3"/>
        <v>0</v>
      </c>
      <c r="H50" s="615">
        <f t="shared" si="3"/>
        <v>0</v>
      </c>
      <c r="I50" s="616">
        <f t="shared" si="3"/>
        <v>0</v>
      </c>
      <c r="J50" s="570"/>
      <c r="K50" s="570"/>
      <c r="L50" s="608"/>
      <c r="M50" s="608"/>
      <c r="N50" s="608"/>
      <c r="O50" s="595"/>
      <c r="P50" s="595"/>
    </row>
    <row r="51" spans="1:16">
      <c r="J51" s="556"/>
      <c r="K51" s="556"/>
      <c r="L51" s="556"/>
      <c r="M51" s="556"/>
      <c r="N51" s="556"/>
    </row>
    <row r="52" spans="1:16">
      <c r="J52" s="556"/>
      <c r="K52" s="556"/>
      <c r="L52" s="556"/>
      <c r="M52" s="556"/>
      <c r="N52"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2021-06-29T15:42:05Z</dcterms:modified>
</cp:coreProperties>
</file>