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10" i="18" s="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<sst xmlns="http://schemas.openxmlformats.org/spreadsheetml/2006/main" count="2485" uniqueCount="909">
  <si>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</si>
  <si>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</si>
  <si>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</si>
  <si>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</si>
  <si>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</si>
  <si>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</si>
  <si>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</si>
  <si>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</si>
  <si>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</si>
  <si>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</si>
  <si>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</si>
  <si>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</si>
  <si>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</si>
  <si>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</si>
  <si>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</si>
  <si>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</si>
  <si>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</si>
  <si>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</si>
  <si>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</si>
  <si>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</si>
  <si>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</si>
  <si>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</si>
  <si>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</si>
  <si>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</si>
  <si>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</si>
  <si>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</si>
  <si>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</si>
  <si>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</si>
  <si>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</si>
  <si>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</si>
  <si>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</si>
  <si>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</si>
  <si>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</si>
  <si>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</si>
  <si>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</si>
  <si>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</si>
  <si>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</si>
  <si>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</si>
  <si>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</si>
  <si>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</si>
  <si>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</si>
  <si>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</si>
  <si>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</si>
  <si>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</si>
  <si>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</si>
  <si>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</si>
  <si>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</si>
  <si>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</si>
  <si>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</si>
  <si>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</si>
  <si>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</si>
  <si>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</si>
  <si>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</si>
  <si>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</si>
  <si>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</si>
  <si>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</si>
  <si>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</si>
  <si>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</si>
  <si>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</si>
  <si>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</si>
  <si>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</si>
  <si>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</si>
  <si>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</si>
  <si>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</si>
  <si>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</si>
  <si>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</si>
  <si>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</si>
  <si>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</si>
  <si>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</si>
  <si>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</si>
  <si>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</si>
  <si>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</si>
  <si>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</si>
  <si>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</si>
  <si>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</si>
  <si>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</si>
  <si>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</si>
  <si>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</si>
  <si>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</si>
  <si>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</si>
  <si>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</si>
  <si>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</si>
  <si>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</si>
  <si>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</si>
  <si>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</si>
  <si>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</si>
  <si>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</si>
  <si>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</si>
  <si>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</si>
  <si>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</si>
  <si>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</si>
  <si>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</si>
  <si>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</si>
  <si>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</si>
  <si>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</si>
  <si>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</si>
  <si>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</si>
  <si>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</si>
  <si>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</si>
  <si>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</si>
  <si>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</si>
  <si>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</si>
  <si>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</si>
  <si>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</si>
  <si>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</si>
  <si>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</si>
  <si>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</si>
  <si>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</si>
  <si>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</si>
  <si>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</si>
  <si>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</si>
  <si>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</si>
  <si>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</si>
  <si>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</si>
  <si>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</si>
  <si>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</si>
  <si>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</si>
  <si>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</si>
  <si>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</si>
  <si>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</si>
  <si>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</si>
  <si>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</si>
  <si>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</si>
  <si>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</si>
  <si>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</si>
  <si>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</si>
  <si>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</si>
  <si>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</si>
  <si>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</si>
  <si>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</si>
  <si>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</si>
  <si>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</si>
  <si>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</si>
  <si>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</si>
  <si>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</si>
  <si>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</si>
  <si>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</si>
  <si>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</si>
  <si>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</si>
  <si>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</si>
  <si>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</si>
  <si>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</si>
  <si>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</si>
  <si>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</si>
  <si>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</si>
  <si>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</si>
  <si>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</si>
  <si>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</si>
  <si>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</si>
  <si>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</si>
  <si>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</si>
  <si>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</si>
  <si>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</si>
  <si>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</si>
  <si>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</si>
  <si>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</si>
  <si>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</si>
  <si>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</si>
  <si>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</si>
  <si>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</si>
  <si>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</si>
  <si>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</si>
  <si>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</si>
  <si>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</si>
  <si>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</si>
  <si>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</si>
  <si>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</si>
  <si>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</si>
  <si>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</si>
  <si>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</si>
  <si>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</si>
  <si>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</si>
  <si>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</si>
  <si>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</si>
  <si>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</si>
  <si>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</si>
  <si>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</si>
  <si>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</si>
  <si>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</si>
  <si>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</si>
  <si>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</si>
  <si>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</si>
  <si>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</si>
  <si>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</si>
  <si>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</si>
  <si>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</si>
  <si>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</si>
  <si>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</si>
  <si>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</si>
  <si>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</si>
  <si>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</si>
  <si>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</si>
  <si>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</si>
  <si>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</si>
  <si>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</si>
  <si>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</si>
  <si>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</si>
  <si>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</si>
  <si>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</si>
  <si>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</si>
  <si>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</si>
  <si>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</si>
  <si>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</si>
  <si>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</si>
  <si>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</si>
  <si>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</si>
  <si>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</si>
  <si>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</si>
  <si>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</si>
  <si>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</si>
  <si>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</si>
  <si>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</si>
  <si>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</si>
  <si>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</si>
  <si>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</si>
  <si>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</si>
  <si>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</si>
  <si>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</si>
  <si>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</si>
  <si>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</si>
  <si>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</si>
  <si>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</si>
  <si>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</si>
  <si>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</si>
  <si>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</si>
  <si>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</si>
  <si>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</si>
  <si>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</si>
  <si>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</si>
  <si>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</si>
  <si>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</si>
  <si>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</si>
  <si>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</si>
  <si>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</si>
  <si>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</si>
  <si>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</si>
  <si>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</si>
  <si>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</si>
  <si>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</si>
  <si>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</si>
  <si>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</si>
  <si>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</si>
  <si>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</si>
  <si>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</si>
  <si>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</si>
  <si>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</si>
  <si>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</si>
  <si>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</si>
  <si>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</si>
  <si>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</si>
  <si>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</si>
  <si>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</si>
  <si>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</si>
  <si>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</si>
  <si>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</si>
  <si>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</si>
  <si>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</si>
  <si>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</si>
  <si>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</si>
  <si>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</si>
  <si>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</si>
  <si>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</si>
  <si>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</si>
  <si>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</si>
  <si>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</si>
  <si>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</si>
  <si>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</si>
  <si>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</si>
  <si>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</si>
  <si>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</si>
  <si>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</si>
  <si>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</si>
  <si>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</si>
  <si>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</si>
  <si>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</si>
  <si>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</si>
  <si>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</si>
  <si>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</si>
  <si>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</si>
  <si>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</si>
  <si>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</si>
  <si>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</si>
  <si>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</si>
  <si>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</si>
  <si>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</si>
  <si>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</si>
  <si>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</si>
  <si>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</si>
  <si>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</si>
  <si>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</si>
  <si>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</si>
  <si>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</si>
  <si>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</si>
  <si>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</si>
  <si>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</si>
  <si>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</si>
  <si>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</si>
  <si>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</si>
  <si>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</si>
  <si>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</si>
  <si>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</si>
  <si>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</si>
  <si>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</si>
  <si>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</si>
  <si>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</si>
  <si>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</si>
  <si>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</si>
  <si>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</si>
  <si>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</si>
  <si>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</si>
  <si>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</si>
  <si>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</si>
  <si>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</si>
  <si>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</si>
  <si>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</si>
  <si>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</si>
  <si>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</si>
  <si>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</si>
  <si>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</si>
  <si>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</si>
  <si>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</si>
  <si>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</si>
  <si>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</si>
  <si>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</si>
  <si>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</si>
  <si>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</si>
  <si>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</si>
  <si>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</si>
  <si>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</si>
  <si>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</si>
  <si>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</si>
  <si>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</si>
  <si>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</si>
  <si>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</si>
  <si>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</si>
  <si>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</si>
  <si>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</si>
  <si>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</si>
  <si>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</si>
  <si>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</si>
  <si>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</si>
  <si>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</si>
  <si>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</si>
  <si>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</si>
  <si>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</si>
  <si>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</si>
  <si>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</si>
  <si>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</si>
  <si>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</si>
  <si>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</si>
  <si>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</si>
  <si>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</si>
  <si>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</si>
  <si>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</si>
  <si>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</si>
  <si>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</si>
  <si>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</si>
  <si>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</si>
  <si>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</si>
  <si>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</si>
  <si>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</si>
  <si>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</si>
  <si>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</si>
  <si>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</si>
  <si>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</si>
  <si>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</si>
  <si>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</si>
  <si>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</si>
  <si>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</si>
  <si>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</si>
  <si>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</si>
  <si>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</si>
  <si>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</si>
  <si>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</si>
  <si>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</si>
  <si>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</si>
  <si>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</si>
  <si>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</si>
  <si>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</si>
  <si>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</si>
  <si>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</si>
  <si>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</si>
  <si>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</si>
  <si>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</si>
  <si>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</si>
  <si>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</si>
  <si>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</si>
  <si>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</si>
  <si>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</si>
  <si>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</si>
  <si>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</si>
  <si>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</si>
  <si>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</si>
  <si>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</si>
  <si>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</si>
  <si>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</si>
  <si>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</si>
  <si>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</si>
  <si>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</si>
  <si>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</si>
  <si>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</si>
  <si>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</si>
  <si>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</si>
  <si>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</si>
  <si>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</si>
  <si>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</si>
  <si>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</si>
  <si>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</si>
  <si>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</si>
  <si>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</si>
  <si>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</si>
  <si>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</si>
  <si>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</si>
  <si>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</si>
  <si>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</si>
  <si>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</si>
  <si>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</si>
  <si>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</si>
  <si>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</si>
  <si>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</si>
  <si>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</si>
  <si>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</si>
  <si>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</si>
  <si>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</si>
  <si>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</si>
  <si>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</si>
  <si>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</si>
  <si>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</si>
  <si>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</si>
  <si>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</si>
  <si>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</si>
  <si>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</si>
  <si>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</si>
  <si>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</si>
  <si>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</si>
  <si>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</si>
  <si>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</si>
  <si>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</si>
  <si>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</si>
  <si>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</si>
  <si>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</si>
  <si>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</si>
  <si>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</si>
  <si>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</si>
  <si>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</si>
  <si>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</si>
  <si>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</si>
  <si>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</si>
  <si>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</si>
  <si>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</si>
  <si>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</si>
  <si>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</si>
  <si>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</si>
  <si>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</si>
  <si>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</si>
  <si>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</si>
  <si>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</si>
  <si>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</si>
  <si>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</si>
  <si>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</si>
  <si>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</si>
  <si>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</si>
  <si>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</si>
  <si>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</si>
  <si>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</si>
  <si>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</si>
  <si>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</si>
  <si>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</si>
  <si>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</si>
  <si>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</si>
  <si>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</si>
  <si>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</si>
  <si>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</si>
  <si>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</si>
  <si>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</si>
  <si>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</si>
  <si>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</si>
  <si>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</si>
  <si>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</si>
  <si>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</si>
  <si>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</si>
  <si>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</si>
  <si>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</si>
  <si>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</si>
  <si>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</si>
  <si>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</si>
  <si>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</si>
  <si>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</si>
  <si>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</si>
  <si>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</si>
  <si>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</si>
  <si>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</si>
  <si>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</si>
  <si>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</si>
  <si>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</si>
  <si>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</si>
  <si>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</si>
  <si>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</si>
  <si>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</si>
  <si>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</si>
  <si>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</si>
  <si>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</si>
  <si>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</si>
  <si>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</si>
  <si>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</si>
  <si>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</si>
  <si>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</si>
  <si>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</si>
  <si>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</si>
  <si>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</si>
  <si>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</si>
  <si>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</si>
  <si>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</si>
  <si>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</si>
  <si>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</si>
  <si>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</si>
  <si>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</si>
  <si>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</si>
  <si>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</si>
  <si>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</si>
  <si>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</si>
  <si>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</si>
  <si>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</si>
  <si>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</si>
  <si>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</si>
  <si>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</si>
  <si>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</si>
  <si>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</si>
  <si>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</si>
  <si>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</si>
  <si>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</si>
  <si>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</si>
  <si>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</si>
  <si>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</si>
  <si>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</si>
  <si>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</si>
  <si>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</si>
  <si>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</si>
  <si>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</si>
  <si>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</si>
  <si>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</si>
  <si>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</si>
  <si>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</si>
  <si>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</si>
  <si>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</si>
  <si>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</si>
  <si>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</si>
  <si>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</si>
  <si>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</si>
  <si>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</si>
  <si>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</si>
  <si>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</si>
  <si>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</si>
  <si>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</si>
  <si>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</si>
  <si>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</si>
  <si>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</si>
  <si>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</si>
  <si>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</si>
  <si>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</si>
  <si>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</si>
  <si>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</si>
  <si>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</si>
  <si>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</si>
  <si>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</si>
  <si>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</si>
  <si>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</si>
  <si>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</si>
  <si>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</si>
  <si>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</si>
  <si>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</si>
  <si>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</si>
  <si>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</si>
  <si>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</si>
  <si>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</si>
  <si>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</si>
  <si>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</si>
  <si>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</si>
  <si>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</si>
  <si>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</si>
  <si>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</si>
  <si>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</si>
  <si>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</si>
  <si>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</si>
  <si>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</si>
  <si>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</si>
  <si>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</si>
  <si>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</si>
  <si>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</si>
  <si>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</si>
  <si>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</si>
  <si>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</si>
  <si>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</si>
  <si>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</si>
  <si>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</si>
  <si>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</si>
  <si>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</si>
  <si>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</si>
  <si>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</si>
  <si>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</si>
  <si>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</si>
  <si>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</si>
  <si>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</si>
  <si>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</si>
  <si>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</si>
  <si>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</si>
  <si>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</si>
  <si>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</si>
  <si>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</si>
  <si>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</si>
  <si>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</si>
  <si>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</si>
  <si>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</si>
  <si>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</si>
  <si>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</si>
  <si>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</si>
  <si>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</si>
  <si>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</si>
  <si>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</si>
  <si>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</si>
  <si>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</si>
  <si>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</si>
  <si>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</si>
  <si>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</si>
  <si>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</si>
  <si>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</si>
  <si>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</si>
  <si>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</si>
  <si>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</si>
  <si>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</si>
  <si>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</si>
  <si>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</si>
  <si>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</si>
  <si>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</si>
  <si>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</si>
  <si>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</si>
  <si>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</si>
  <si>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</si>
  <si>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</si>
  <si>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</si>
  <si>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</si>
  <si>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</si>
  <si>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</si>
  <si>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</si>
  <si>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</si>
  <si>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</si>
  <si>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</si>
  <si>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</si>
  <si>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</si>
  <si>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</si>
  <si>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</si>
  <si>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</si>
  <si>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</si>
  <si>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</si>
  <si>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</si>
  <si>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</si>
  <si>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</si>
  <si>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</si>
  <si>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</si>
  <si>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</si>
  <si>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</si>
  <si>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</si>
  <si>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</si>
  <si>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</si>
  <si>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</si>
  <si>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</si>
  <si>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</si>
  <si>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</si>
  <si>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</si>
  <si>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</si>
  <si>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</si>
  <si>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</si>
  <si>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</si>
  <si>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</si>
  <si>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</si>
  <si>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</si>
  <si>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</si>
  <si>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</si>
  <si>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</si>
  <si>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</si>
  <si>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</si>
  <si>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</si>
  <si>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</si>
  <si>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</si>
  <si>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</si>
  <si>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</si>
  <si>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</si>
  <si>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</si>
  <si>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</si>
  <si>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</si>
  <si>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</si>
  <si>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</si>
  <si>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</si>
  <si>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</si>
  <si>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</si>
  <si>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</si>
  <si>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</si>
  <si>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</si>
  <si>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</si>
  <si>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</si>
  <si>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</si>
  <si>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</si>
  <si>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</si>
  <si>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</si>
  <si>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</si>
  <si>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</si>
  <si>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</si>
  <si>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</si>
  <si>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</si>
  <si>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</si>
  <si>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</si>
  <si>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</si>
  <si>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</si>
  <si>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</si>
  <si>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</si>
  <si>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</si>
  <si>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</si>
  <si>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</si>
  <si>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</si>
  <si>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</si>
  <si>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</si>
  <si>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</si>
  <si>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</si>
  <si>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</si>
  <si>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</si>
  <si>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</si>
  <si>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</si>
  <si>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</si>
  <si>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</si>
  <si>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</si>
  <si>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</si>
  <si>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</si>
  <si>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</si>
  <si>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</si>
  <si>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</si>
  <si>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</si>
  <si>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</si>
  <si>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</si>
  <si>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</si>
  <si>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</si>
  <si>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</si>
  <si>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</si>
  <si>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</si>
  <si>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</si>
  <si>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</si>
  <si>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</si>
  <si>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</si>
  <si>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</si>
  <si>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</si>
  <si>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</si>
  <si>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</si>
  <si>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</si>
  <si>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</si>
  <si>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</si>
  <si>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</si>
  <si>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</si>
  <si>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</si>
  <si>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</si>
  <si>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</si>
  <si>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</si>
  <si>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</si>
  <si>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</si>
  <si>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</si>
  <si>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</si>
  <si>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</si>
  <si>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</si>
  <si>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</si>
  <si>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</si>
  <si>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</si>
  <si>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</si>
  <si>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</si>
  <si>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</si>
  <si>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</si>
  <si>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</si>
  <si>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</si>
  <si>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</si>
  <si>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</si>
  <si>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</si>
  <si>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</si>
  <si>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</si>
  <si>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</si>
  <si>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</si>
  <si>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</si>
  <si>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</si>
  <si>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</si>
  <si>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</si>
  <si>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</si>
  <si>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</si>
  <si>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</si>
  <si>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</si>
  <si>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</si>
  <si>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</si>
  <si>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</si>
  <si>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</si>
  <si>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</si>
  <si>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</si>
  <si>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</si>
  <si>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</si>
  <si>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</si>
  <si>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</si>
  <si>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</si>
  <si>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</si>
  <si>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</si>
  <si>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</si>
  <si>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</si>
  <si>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</si>
  <si>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</si>
  <si>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</si>
  <si>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</si>
  <si>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</si>
  <si>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</si>
  <si>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</si>
  <si>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</si>
  <si>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</si>
  <si>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</si>
  <si>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</si>
  <si>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</si>
  <si>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</si>
  <si>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</si>
  <si>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</si>
  <si>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</si>
  <si>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</si>
  <si>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</si>
  <si>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</si>
  <si>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</si>
  <si>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</si>
  <si>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</si>
  <si>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</si>
  <si>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</si>
  <si>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</si>
  <si>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</si>
  <si>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</si>
  <si>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</si>
  <si>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</si>
  <si>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</si>
  <si>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</si>
  <si>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</si>
  <si>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</si>
  <si>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</si>
  <si>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</si>
  <si>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</si>
  <si>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</si>
  <si>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</si>
  <si>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</si>
  <si>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</si>
  <si>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</si>
  <si>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</si>
  <si>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</si>
  <si>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</si>
  <si>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</si>
  <si>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</si>
  <si>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</si>
  <si>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</si>
  <si>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</si>
  <si>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</si>
  <si>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</si>
  <si>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</si>
  <si>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</si>
  <si>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</si>
  <si>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</si>
  <si>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</si>
  <si>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</si>
  <si>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</si>
  <si>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</si>
  <si>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</si>
  <si>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</si>
  <si>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</si>
  <si>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</si>
  <si>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</si>
  <si>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</si>
  <si>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</si>
  <si>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</si>
  <si>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</si>
  <si>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</si>
  <si>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</si>
  <si>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</si>
  <si>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</si>
  <si>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</si>
  <si>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</si>
  <si>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</si>
  <si>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</si>
  <si>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</si>
  <si>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</si>
  <si>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</si>
  <si>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</si>
  <si>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</si>
  <si>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</si>
  <si>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</si>
  <si>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</si>
  <si>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</si>
  <si>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</si>
  <si>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</si>
  <si>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</si>
  <si>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</si>
  <si>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</si>
  <si>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</si>
  <si>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</si>
  <si>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</si>
  <si>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34027</t>
  </si>
  <si>
    <t>MENEN</t>
  </si>
  <si>
    <t>Fluvius</t>
  </si>
  <si>
    <t>referentietaak LNE (2017); Jaarverslag De Lijn</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</si>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</sst>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259713.64375061297</c:v>
                </c:pt>
                <c:pt idx="1">
                  <c:v>151051.12912062564</c:v>
                </c:pt>
                <c:pt idx="2">
                  <c:v>2293.3820000000001</c:v>
                </c:pt>
                <c:pt idx="3">
                  <c:v>5743.7625774686148</c:v>
                </c:pt>
                <c:pt idx="4">
                  <c:v>121681.22059351948</c:v>
                </c:pt>
                <c:pt idx="5">
                  <c:v>197298.84598766081</c:v>
                </c:pt>
                <c:pt idx="6">
                  <c:v>2264.1166818693719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259713.64375061297</c:v>
                </c:pt>
                <c:pt idx="1">
                  <c:v>151051.12912062564</c:v>
                </c:pt>
                <c:pt idx="2">
                  <c:v>2293.3820000000001</c:v>
                </c:pt>
                <c:pt idx="3">
                  <c:v>5743.7625774686148</c:v>
                </c:pt>
                <c:pt idx="4">
                  <c:v>121681.22059351948</c:v>
                </c:pt>
                <c:pt idx="5">
                  <c:v>197298.84598766081</c:v>
                </c:pt>
                <c:pt idx="6">
                  <c:v>2264.1166818693719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49547.685880467521</c:v>
                </c:pt>
                <c:pt idx="2">
                  <c:v>25194.851014198153</c:v>
                </c:pt>
                <c:pt idx="3">
                  <c:v>398.68939580129592</c:v>
                </c:pt>
                <c:pt idx="4">
                  <c:v>1429.1755979054474</c:v>
                </c:pt>
                <c:pt idx="5">
                  <c:v>23997.894050982512</c:v>
                </c:pt>
                <c:pt idx="6">
                  <c:v>49435.704016862204</c:v>
                </c:pt>
                <c:pt idx="7">
                  <c:v>569.82849413403198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49547.685880467521</c:v>
                </c:pt>
                <c:pt idx="2">
                  <c:v>25194.851014198153</c:v>
                </c:pt>
                <c:pt idx="3">
                  <c:v>398.68939580129592</c:v>
                </c:pt>
                <c:pt idx="4">
                  <c:v>1429.1755979054474</c:v>
                </c:pt>
                <c:pt idx="5">
                  <c:v>23997.894050982512</c:v>
                </c:pt>
                <c:pt idx="6">
                  <c:v>49435.704016862204</c:v>
                </c:pt>
                <c:pt idx="7">
                  <c:v>569.82849413403198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34027</v>
      </c>
      <c r="B6" s="384"/>
      <c r="C6" s="385"/>
    </row>
    <row r="7" spans="1:7" s="382" customFormat="1" ht="15.75" customHeight="1">
      <c r="A7" s="386" t="str">
        <f>txtMunicipality</f>
        <v>MENEN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68236.601373175014</v>
      </c>
      <c r="D10" s="973">
        <f ca="1">tertiair!C16</f>
        <v>20134.285714285714</v>
      </c>
      <c r="E10" s="973">
        <f ca="1">tertiair!D16</f>
        <v>55035.43745786362</v>
      </c>
      <c r="F10" s="973">
        <f>tertiair!E16</f>
        <v>704.42811302404505</v>
      </c>
      <c r="G10" s="973">
        <f ca="1">tertiair!F16</f>
        <v>9190.7940923287097</v>
      </c>
      <c r="H10" s="973">
        <f>tertiair!G16</f>
        <v>0</v>
      </c>
      <c r="I10" s="973">
        <f>tertiair!H16</f>
        <v>0</v>
      </c>
      <c r="J10" s="973">
        <f>tertiair!I16</f>
        <v>0</v>
      </c>
      <c r="K10" s="973">
        <f>tertiair!J16</f>
        <v>0.14103661525294428</v>
      </c>
      <c r="L10" s="973">
        <f>tertiair!K16</f>
        <v>0</v>
      </c>
      <c r="M10" s="973">
        <f ca="1">tertiair!L16</f>
        <v>0</v>
      </c>
      <c r="N10" s="973">
        <f>tertiair!M16</f>
        <v>0</v>
      </c>
      <c r="O10" s="973">
        <f ca="1">tertiair!N16</f>
        <v>0</v>
      </c>
      <c r="P10" s="973">
        <f>tertiair!O16</f>
        <v>4.6900000000000004</v>
      </c>
      <c r="Q10" s="974">
        <f>tertiair!P16</f>
        <v>38.133333333333333</v>
      </c>
      <c r="R10" s="668">
        <f ca="1">SUM(C10:Q10)</f>
        <v>153344.51112062568</v>
      </c>
      <c r="S10" s="67"/>
    </row>
    <row r="11" spans="1:19" s="441" customFormat="1">
      <c r="A11" s="777" t="s">
        <v>219</v>
      </c>
      <c r="B11" s="782"/>
      <c r="C11" s="973">
        <f>huishoudens!B8</f>
        <v>47614.81185480472</v>
      </c>
      <c r="D11" s="973">
        <f>huishoudens!C8</f>
        <v>0</v>
      </c>
      <c r="E11" s="973">
        <f>huishoudens!D8</f>
        <v>152402.55365565576</v>
      </c>
      <c r="F11" s="973">
        <f>huishoudens!E8</f>
        <v>1490.4385845547015</v>
      </c>
      <c r="G11" s="973">
        <f>huishoudens!F8</f>
        <v>37761.032813300641</v>
      </c>
      <c r="H11" s="973">
        <f>huishoudens!G8</f>
        <v>0</v>
      </c>
      <c r="I11" s="973">
        <f>huishoudens!H8</f>
        <v>0</v>
      </c>
      <c r="J11" s="973">
        <f>huishoudens!I8</f>
        <v>0</v>
      </c>
      <c r="K11" s="973">
        <f>huishoudens!J8</f>
        <v>181.70185344192083</v>
      </c>
      <c r="L11" s="973">
        <f>huishoudens!K8</f>
        <v>0</v>
      </c>
      <c r="M11" s="973">
        <f>huishoudens!L8</f>
        <v>0</v>
      </c>
      <c r="N11" s="973">
        <f>huishoudens!M8</f>
        <v>0</v>
      </c>
      <c r="O11" s="973">
        <f>huishoudens!N8</f>
        <v>19386.868322188555</v>
      </c>
      <c r="P11" s="973">
        <f>huishoudens!O8</f>
        <v>342.37000000000006</v>
      </c>
      <c r="Q11" s="974">
        <f>huishoudens!P8</f>
        <v>533.86666666666667</v>
      </c>
      <c r="R11" s="668">
        <f>SUM(C11:Q11)</f>
        <v>259713.64375061297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40658.09107967389</v>
      </c>
      <c r="D13" s="973">
        <f>industrie!C18</f>
        <v>0</v>
      </c>
      <c r="E13" s="973">
        <f>industrie!D18</f>
        <v>57531.174479780093</v>
      </c>
      <c r="F13" s="973">
        <f>industrie!E18</f>
        <v>5105.5617053618571</v>
      </c>
      <c r="G13" s="973">
        <f>industrie!F18</f>
        <v>15435.938830470212</v>
      </c>
      <c r="H13" s="973">
        <f>industrie!G18</f>
        <v>0</v>
      </c>
      <c r="I13" s="973">
        <f>industrie!H18</f>
        <v>0</v>
      </c>
      <c r="J13" s="973">
        <f>industrie!I18</f>
        <v>0</v>
      </c>
      <c r="K13" s="973">
        <f>industrie!J18</f>
        <v>79.368853684874693</v>
      </c>
      <c r="L13" s="973">
        <f>industrie!K18</f>
        <v>0</v>
      </c>
      <c r="M13" s="973">
        <f>industrie!L18</f>
        <v>0</v>
      </c>
      <c r="N13" s="973">
        <f>industrie!M18</f>
        <v>0</v>
      </c>
      <c r="O13" s="973">
        <f>industrie!N18</f>
        <v>2871.0856445485338</v>
      </c>
      <c r="P13" s="973">
        <f>industrie!O18</f>
        <v>0</v>
      </c>
      <c r="Q13" s="974">
        <f>industrie!P18</f>
        <v>0</v>
      </c>
      <c r="R13" s="668">
        <f>SUM(C13:Q13)</f>
        <v>121681.22059351948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156509.50430765364</v>
      </c>
      <c r="D16" s="700">
        <f t="shared" ref="D16:R16" ca="1" si="0">SUM(D9:D15)</f>
        <v>20134.285714285714</v>
      </c>
      <c r="E16" s="700">
        <f t="shared" ca="1" si="0"/>
        <v>264969.16559329949</v>
      </c>
      <c r="F16" s="700">
        <f t="shared" si="0"/>
        <v>7300.4284029406035</v>
      </c>
      <c r="G16" s="700">
        <f t="shared" ca="1" si="0"/>
        <v>62387.765736099565</v>
      </c>
      <c r="H16" s="700">
        <f t="shared" si="0"/>
        <v>0</v>
      </c>
      <c r="I16" s="700">
        <f t="shared" si="0"/>
        <v>0</v>
      </c>
      <c r="J16" s="700">
        <f t="shared" si="0"/>
        <v>0</v>
      </c>
      <c r="K16" s="700">
        <f t="shared" si="0"/>
        <v>261.2117437420485</v>
      </c>
      <c r="L16" s="700">
        <f t="shared" si="0"/>
        <v>0</v>
      </c>
      <c r="M16" s="700">
        <f t="shared" ca="1" si="0"/>
        <v>0</v>
      </c>
      <c r="N16" s="700">
        <f t="shared" si="0"/>
        <v>0</v>
      </c>
      <c r="O16" s="700">
        <f t="shared" ca="1" si="0"/>
        <v>22257.953966737088</v>
      </c>
      <c r="P16" s="700">
        <f t="shared" si="0"/>
        <v>347.06000000000006</v>
      </c>
      <c r="Q16" s="700">
        <f t="shared" si="0"/>
        <v>572</v>
      </c>
      <c r="R16" s="700">
        <f t="shared" ca="1" si="0"/>
        <v>534739.37546475814</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22.562243883168129</v>
      </c>
      <c r="D19" s="973">
        <f>transport!C54</f>
        <v>0</v>
      </c>
      <c r="E19" s="973">
        <f>transport!D54</f>
        <v>0</v>
      </c>
      <c r="F19" s="973">
        <f>transport!E54</f>
        <v>0</v>
      </c>
      <c r="G19" s="973">
        <f>transport!F54</f>
        <v>0</v>
      </c>
      <c r="H19" s="973">
        <f>transport!G54</f>
        <v>2119.4988623337067</v>
      </c>
      <c r="I19" s="973">
        <f>transport!H54</f>
        <v>0</v>
      </c>
      <c r="J19" s="973">
        <f>transport!I54</f>
        <v>0</v>
      </c>
      <c r="K19" s="973">
        <f>transport!J54</f>
        <v>0</v>
      </c>
      <c r="L19" s="973">
        <f>transport!K54</f>
        <v>0</v>
      </c>
      <c r="M19" s="973">
        <f>transport!L54</f>
        <v>0</v>
      </c>
      <c r="N19" s="973">
        <f>transport!M54</f>
        <v>122.05557565249698</v>
      </c>
      <c r="O19" s="973">
        <f>transport!N54</f>
        <v>0</v>
      </c>
      <c r="P19" s="973">
        <f>transport!O54</f>
        <v>0</v>
      </c>
      <c r="Q19" s="974">
        <f>transport!P54</f>
        <v>0</v>
      </c>
      <c r="R19" s="668">
        <f>SUM(C19:Q19)</f>
        <v>2264.1166818693719</v>
      </c>
      <c r="S19" s="67"/>
    </row>
    <row r="20" spans="1:19" s="441" customFormat="1">
      <c r="A20" s="777" t="s">
        <v>301</v>
      </c>
      <c r="B20" s="782"/>
      <c r="C20" s="973">
        <f>transport!B14</f>
        <v>110.81529472992763</v>
      </c>
      <c r="D20" s="973">
        <f>transport!C14</f>
        <v>0</v>
      </c>
      <c r="E20" s="973">
        <f>transport!D14</f>
        <v>177.17200077187317</v>
      </c>
      <c r="F20" s="973">
        <f>transport!E14</f>
        <v>332.63826806355718</v>
      </c>
      <c r="G20" s="973">
        <f>transport!F14</f>
        <v>0</v>
      </c>
      <c r="H20" s="973">
        <f>transport!G14</f>
        <v>157684.0778700537</v>
      </c>
      <c r="I20" s="973">
        <f>transport!H14</f>
        <v>28929.691098363688</v>
      </c>
      <c r="J20" s="973">
        <f>transport!I14</f>
        <v>0</v>
      </c>
      <c r="K20" s="973">
        <f>transport!J14</f>
        <v>0</v>
      </c>
      <c r="L20" s="973">
        <f>transport!K14</f>
        <v>0</v>
      </c>
      <c r="M20" s="973">
        <f>transport!L14</f>
        <v>0</v>
      </c>
      <c r="N20" s="973">
        <f>transport!M14</f>
        <v>10064.45145567806</v>
      </c>
      <c r="O20" s="973">
        <f>transport!N14</f>
        <v>0</v>
      </c>
      <c r="P20" s="973">
        <f>transport!O14</f>
        <v>0</v>
      </c>
      <c r="Q20" s="974">
        <f>transport!P14</f>
        <v>0</v>
      </c>
      <c r="R20" s="668">
        <f>SUM(C20:Q20)</f>
        <v>197298.84598766081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133.37753861309577</v>
      </c>
      <c r="D22" s="780">
        <f t="shared" ref="D22:R22" si="1">SUM(D18:D21)</f>
        <v>0</v>
      </c>
      <c r="E22" s="780">
        <f t="shared" si="1"/>
        <v>177.17200077187317</v>
      </c>
      <c r="F22" s="780">
        <f t="shared" si="1"/>
        <v>332.63826806355718</v>
      </c>
      <c r="G22" s="780">
        <f t="shared" si="1"/>
        <v>0</v>
      </c>
      <c r="H22" s="780">
        <f t="shared" si="1"/>
        <v>159803.57673238742</v>
      </c>
      <c r="I22" s="780">
        <f t="shared" si="1"/>
        <v>28929.691098363688</v>
      </c>
      <c r="J22" s="780">
        <f t="shared" si="1"/>
        <v>0</v>
      </c>
      <c r="K22" s="780">
        <f t="shared" si="1"/>
        <v>0</v>
      </c>
      <c r="L22" s="780">
        <f t="shared" si="1"/>
        <v>0</v>
      </c>
      <c r="M22" s="780">
        <f t="shared" si="1"/>
        <v>0</v>
      </c>
      <c r="N22" s="780">
        <f t="shared" si="1"/>
        <v>10186.507031330557</v>
      </c>
      <c r="O22" s="780">
        <f t="shared" si="1"/>
        <v>0</v>
      </c>
      <c r="P22" s="780">
        <f t="shared" si="1"/>
        <v>0</v>
      </c>
      <c r="Q22" s="780">
        <f t="shared" si="1"/>
        <v>0</v>
      </c>
      <c r="R22" s="780">
        <f t="shared" si="1"/>
        <v>199562.96266953018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1013.374001085365</v>
      </c>
      <c r="D24" s="973">
        <f>+landbouw!C8</f>
        <v>0</v>
      </c>
      <c r="E24" s="973">
        <f>+landbouw!D8</f>
        <v>332.12496032358632</v>
      </c>
      <c r="F24" s="973">
        <f>+landbouw!E8</f>
        <v>29.78615709335098</v>
      </c>
      <c r="G24" s="973">
        <f>+landbouw!F8</f>
        <v>4221.6613286648289</v>
      </c>
      <c r="H24" s="973">
        <f>+landbouw!G8</f>
        <v>0</v>
      </c>
      <c r="I24" s="973">
        <f>+landbouw!H8</f>
        <v>0</v>
      </c>
      <c r="J24" s="973">
        <f>+landbouw!I8</f>
        <v>0</v>
      </c>
      <c r="K24" s="973">
        <f>+landbouw!J8</f>
        <v>146.81613030148367</v>
      </c>
      <c r="L24" s="973">
        <f>+landbouw!K8</f>
        <v>0</v>
      </c>
      <c r="M24" s="973">
        <f>+landbouw!L8</f>
        <v>0</v>
      </c>
      <c r="N24" s="973">
        <f>+landbouw!M8</f>
        <v>0</v>
      </c>
      <c r="O24" s="973">
        <f>+landbouw!N8</f>
        <v>0</v>
      </c>
      <c r="P24" s="973">
        <f>+landbouw!O8</f>
        <v>0</v>
      </c>
      <c r="Q24" s="974">
        <f>+landbouw!P8</f>
        <v>0</v>
      </c>
      <c r="R24" s="668">
        <f>SUM(C24:Q24)</f>
        <v>5743.7625774686148</v>
      </c>
      <c r="S24" s="67"/>
    </row>
    <row r="25" spans="1:19" s="441" customFormat="1" ht="15" thickBot="1">
      <c r="A25" s="799" t="s">
        <v>808</v>
      </c>
      <c r="B25" s="976"/>
      <c r="C25" s="977">
        <f>IF(Onbekend_ele_kWh="---",0,Onbekend_ele_kWh)/1000+IF(REST_rest_ele_kWh="---",0,REST_rest_ele_kWh)/1000</f>
        <v>1462.94134874777</v>
      </c>
      <c r="D25" s="977"/>
      <c r="E25" s="977">
        <f>IF(onbekend_gas_kWh="---",0,onbekend_gas_kWh)/1000+IF(REST_rest_gas_kWh="---",0,REST_rest_gas_kWh)/1000</f>
        <v>5245.5166186189499</v>
      </c>
      <c r="F25" s="977"/>
      <c r="G25" s="977"/>
      <c r="H25" s="977"/>
      <c r="I25" s="977"/>
      <c r="J25" s="977"/>
      <c r="K25" s="977"/>
      <c r="L25" s="977"/>
      <c r="M25" s="977"/>
      <c r="N25" s="977"/>
      <c r="O25" s="977"/>
      <c r="P25" s="977"/>
      <c r="Q25" s="978"/>
      <c r="R25" s="668">
        <f>SUM(C25:Q25)</f>
        <v>6708.4579673667195</v>
      </c>
      <c r="S25" s="67"/>
    </row>
    <row r="26" spans="1:19" s="441" customFormat="1" ht="15.75" thickBot="1">
      <c r="A26" s="673" t="s">
        <v>809</v>
      </c>
      <c r="B26" s="785"/>
      <c r="C26" s="780">
        <f>SUM(C24:C25)</f>
        <v>2476.3153498331349</v>
      </c>
      <c r="D26" s="780">
        <f t="shared" ref="D26:R26" si="2">SUM(D24:D25)</f>
        <v>0</v>
      </c>
      <c r="E26" s="780">
        <f t="shared" si="2"/>
        <v>5577.6415789425364</v>
      </c>
      <c r="F26" s="780">
        <f t="shared" si="2"/>
        <v>29.78615709335098</v>
      </c>
      <c r="G26" s="780">
        <f t="shared" si="2"/>
        <v>4221.6613286648289</v>
      </c>
      <c r="H26" s="780">
        <f t="shared" si="2"/>
        <v>0</v>
      </c>
      <c r="I26" s="780">
        <f t="shared" si="2"/>
        <v>0</v>
      </c>
      <c r="J26" s="780">
        <f t="shared" si="2"/>
        <v>0</v>
      </c>
      <c r="K26" s="780">
        <f t="shared" si="2"/>
        <v>146.81613030148367</v>
      </c>
      <c r="L26" s="780">
        <f t="shared" si="2"/>
        <v>0</v>
      </c>
      <c r="M26" s="780">
        <f t="shared" si="2"/>
        <v>0</v>
      </c>
      <c r="N26" s="780">
        <f t="shared" si="2"/>
        <v>0</v>
      </c>
      <c r="O26" s="780">
        <f t="shared" si="2"/>
        <v>0</v>
      </c>
      <c r="P26" s="780">
        <f t="shared" si="2"/>
        <v>0</v>
      </c>
      <c r="Q26" s="780">
        <f t="shared" si="2"/>
        <v>0</v>
      </c>
      <c r="R26" s="780">
        <f t="shared" si="2"/>
        <v>12452.220544835334</v>
      </c>
      <c r="S26" s="67"/>
    </row>
    <row r="27" spans="1:19" s="441" customFormat="1" ht="17.25" thickTop="1" thickBot="1">
      <c r="A27" s="674" t="s">
        <v>115</v>
      </c>
      <c r="B27" s="773"/>
      <c r="C27" s="675">
        <f ca="1">C22+C16+C26</f>
        <v>159119.19719609988</v>
      </c>
      <c r="D27" s="675">
        <f t="shared" ref="D27:R27" ca="1" si="3">D22+D16+D26</f>
        <v>20134.285714285714</v>
      </c>
      <c r="E27" s="675">
        <f t="shared" ca="1" si="3"/>
        <v>270723.97917301388</v>
      </c>
      <c r="F27" s="675">
        <f t="shared" si="3"/>
        <v>7662.8528280975115</v>
      </c>
      <c r="G27" s="675">
        <f t="shared" ca="1" si="3"/>
        <v>66609.427064764401</v>
      </c>
      <c r="H27" s="675">
        <f t="shared" si="3"/>
        <v>159803.57673238742</v>
      </c>
      <c r="I27" s="675">
        <f t="shared" si="3"/>
        <v>28929.691098363688</v>
      </c>
      <c r="J27" s="675">
        <f t="shared" si="3"/>
        <v>0</v>
      </c>
      <c r="K27" s="675">
        <f t="shared" si="3"/>
        <v>408.02787404353217</v>
      </c>
      <c r="L27" s="675">
        <f t="shared" si="3"/>
        <v>0</v>
      </c>
      <c r="M27" s="675">
        <f t="shared" ca="1" si="3"/>
        <v>0</v>
      </c>
      <c r="N27" s="675">
        <f t="shared" si="3"/>
        <v>10186.507031330557</v>
      </c>
      <c r="O27" s="675">
        <f t="shared" ca="1" si="3"/>
        <v>22257.953966737088</v>
      </c>
      <c r="P27" s="675">
        <f t="shared" si="3"/>
        <v>347.06000000000006</v>
      </c>
      <c r="Q27" s="675">
        <f t="shared" si="3"/>
        <v>572</v>
      </c>
      <c r="R27" s="675">
        <f t="shared" ca="1" si="3"/>
        <v>746754.55867912364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11862.484912240972</v>
      </c>
      <c r="D40" s="973">
        <f ca="1">tertiair!C20</f>
        <v>0</v>
      </c>
      <c r="E40" s="973">
        <f ca="1">tertiair!D20</f>
        <v>11117.158366488451</v>
      </c>
      <c r="F40" s="973">
        <f>tertiair!E20</f>
        <v>159.90518165645824</v>
      </c>
      <c r="G40" s="973">
        <f ca="1">tertiair!F20</f>
        <v>2453.9420226517655</v>
      </c>
      <c r="H40" s="973">
        <f>tertiair!G20</f>
        <v>0</v>
      </c>
      <c r="I40" s="973">
        <f>tertiair!H20</f>
        <v>0</v>
      </c>
      <c r="J40" s="973">
        <f>tertiair!I20</f>
        <v>0</v>
      </c>
      <c r="K40" s="973">
        <f>tertiair!J20</f>
        <v>4.9926961799542272E-2</v>
      </c>
      <c r="L40" s="973">
        <f>tertiair!K20</f>
        <v>0</v>
      </c>
      <c r="M40" s="973">
        <f ca="1">tertiair!L20</f>
        <v>0</v>
      </c>
      <c r="N40" s="973">
        <f>tertiair!M20</f>
        <v>0</v>
      </c>
      <c r="O40" s="973">
        <f ca="1">tertiair!N20</f>
        <v>0</v>
      </c>
      <c r="P40" s="973">
        <f>tertiair!O20</f>
        <v>0</v>
      </c>
      <c r="Q40" s="742">
        <f>tertiair!P20</f>
        <v>0</v>
      </c>
      <c r="R40" s="818">
        <f t="shared" ca="1" si="4"/>
        <v>25593.540409999448</v>
      </c>
    </row>
    <row r="41" spans="1:18">
      <c r="A41" s="790" t="s">
        <v>219</v>
      </c>
      <c r="B41" s="797"/>
      <c r="C41" s="973">
        <f ca="1">huishoudens!B12</f>
        <v>8277.5222660614218</v>
      </c>
      <c r="D41" s="973">
        <f ca="1">huishoudens!C12</f>
        <v>0</v>
      </c>
      <c r="E41" s="973">
        <f>huishoudens!D12</f>
        <v>30785.315838442468</v>
      </c>
      <c r="F41" s="973">
        <f>huishoudens!E12</f>
        <v>338.32955869391725</v>
      </c>
      <c r="G41" s="973">
        <f>huishoudens!F12</f>
        <v>10082.195761151272</v>
      </c>
      <c r="H41" s="973">
        <f>huishoudens!G12</f>
        <v>0</v>
      </c>
      <c r="I41" s="973">
        <f>huishoudens!H12</f>
        <v>0</v>
      </c>
      <c r="J41" s="973">
        <f>huishoudens!I12</f>
        <v>0</v>
      </c>
      <c r="K41" s="973">
        <f>huishoudens!J12</f>
        <v>64.322456118439973</v>
      </c>
      <c r="L41" s="973">
        <f>huishoudens!K12</f>
        <v>0</v>
      </c>
      <c r="M41" s="973">
        <f>huishoudens!L12</f>
        <v>0</v>
      </c>
      <c r="N41" s="973">
        <f>huishoudens!M12</f>
        <v>0</v>
      </c>
      <c r="O41" s="973">
        <f>huishoudens!N12</f>
        <v>0</v>
      </c>
      <c r="P41" s="973">
        <f>huishoudens!O12</f>
        <v>0</v>
      </c>
      <c r="Q41" s="742">
        <f>huishoudens!P12</f>
        <v>0</v>
      </c>
      <c r="R41" s="818">
        <f t="shared" ca="1" si="4"/>
        <v>49547.685880467521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7068.1420570097971</v>
      </c>
      <c r="D43" s="973">
        <f ca="1">industrie!C22</f>
        <v>0</v>
      </c>
      <c r="E43" s="973">
        <f>industrie!D22</f>
        <v>11621.297244915579</v>
      </c>
      <c r="F43" s="973">
        <f>industrie!E22</f>
        <v>1158.9625071171415</v>
      </c>
      <c r="G43" s="973">
        <f>industrie!F22</f>
        <v>4121.3956677355463</v>
      </c>
      <c r="H43" s="973">
        <f>industrie!G22</f>
        <v>0</v>
      </c>
      <c r="I43" s="973">
        <f>industrie!H22</f>
        <v>0</v>
      </c>
      <c r="J43" s="973">
        <f>industrie!I22</f>
        <v>0</v>
      </c>
      <c r="K43" s="973">
        <f>industrie!J22</f>
        <v>28.096574204445641</v>
      </c>
      <c r="L43" s="973">
        <f>industrie!K22</f>
        <v>0</v>
      </c>
      <c r="M43" s="973">
        <f>industrie!L22</f>
        <v>0</v>
      </c>
      <c r="N43" s="973">
        <f>industrie!M22</f>
        <v>0</v>
      </c>
      <c r="O43" s="973">
        <f>industrie!N22</f>
        <v>0</v>
      </c>
      <c r="P43" s="973">
        <f>industrie!O22</f>
        <v>0</v>
      </c>
      <c r="Q43" s="742">
        <f>industrie!P22</f>
        <v>0</v>
      </c>
      <c r="R43" s="817">
        <f t="shared" ca="1" si="4"/>
        <v>23997.894050982512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27208.149235312194</v>
      </c>
      <c r="D46" s="700">
        <f t="shared" ref="D46:Q46" ca="1" si="5">SUM(D39:D45)</f>
        <v>0</v>
      </c>
      <c r="E46" s="700">
        <f t="shared" ca="1" si="5"/>
        <v>53523.771449846499</v>
      </c>
      <c r="F46" s="700">
        <f t="shared" si="5"/>
        <v>1657.1972474675169</v>
      </c>
      <c r="G46" s="700">
        <f t="shared" ca="1" si="5"/>
        <v>16657.533451538584</v>
      </c>
      <c r="H46" s="700">
        <f t="shared" si="5"/>
        <v>0</v>
      </c>
      <c r="I46" s="700">
        <f t="shared" si="5"/>
        <v>0</v>
      </c>
      <c r="J46" s="700">
        <f t="shared" si="5"/>
        <v>0</v>
      </c>
      <c r="K46" s="700">
        <f t="shared" si="5"/>
        <v>92.46895728468516</v>
      </c>
      <c r="L46" s="700">
        <f t="shared" si="5"/>
        <v>0</v>
      </c>
      <c r="M46" s="700">
        <f t="shared" ca="1" si="5"/>
        <v>0</v>
      </c>
      <c r="N46" s="700">
        <f t="shared" si="5"/>
        <v>0</v>
      </c>
      <c r="O46" s="700">
        <f t="shared" ca="1" si="5"/>
        <v>0</v>
      </c>
      <c r="P46" s="700">
        <f t="shared" si="5"/>
        <v>0</v>
      </c>
      <c r="Q46" s="700">
        <f t="shared" si="5"/>
        <v>0</v>
      </c>
      <c r="R46" s="700">
        <f ca="1">SUM(R39:R45)</f>
        <v>99139.120341449481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3.9222978909321631</v>
      </c>
      <c r="D49" s="973">
        <f ca="1">transport!C58</f>
        <v>0</v>
      </c>
      <c r="E49" s="973">
        <f>transport!D58</f>
        <v>0</v>
      </c>
      <c r="F49" s="973">
        <f>transport!E58</f>
        <v>0</v>
      </c>
      <c r="G49" s="973">
        <f>transport!F58</f>
        <v>0</v>
      </c>
      <c r="H49" s="973">
        <f>transport!G58</f>
        <v>565.90619624309977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569.82849413403198</v>
      </c>
    </row>
    <row r="50" spans="1:18">
      <c r="A50" s="793" t="s">
        <v>301</v>
      </c>
      <c r="B50" s="803"/>
      <c r="C50" s="671">
        <f ca="1">transport!B18</f>
        <v>19.264511058958945</v>
      </c>
      <c r="D50" s="671">
        <f>transport!C18</f>
        <v>0</v>
      </c>
      <c r="E50" s="671">
        <f>transport!D18</f>
        <v>35.78874415591838</v>
      </c>
      <c r="F50" s="671">
        <f>transport!E18</f>
        <v>75.508886850427487</v>
      </c>
      <c r="G50" s="671">
        <f>transport!F18</f>
        <v>0</v>
      </c>
      <c r="H50" s="671">
        <f>transport!G18</f>
        <v>42101.648791304338</v>
      </c>
      <c r="I50" s="671">
        <f>transport!H18</f>
        <v>7203.4930834925581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49435.704016862204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23.186808949891109</v>
      </c>
      <c r="D52" s="700">
        <f t="shared" ref="D52:Q52" ca="1" si="6">SUM(D48:D51)</f>
        <v>0</v>
      </c>
      <c r="E52" s="700">
        <f t="shared" si="6"/>
        <v>35.78874415591838</v>
      </c>
      <c r="F52" s="700">
        <f t="shared" si="6"/>
        <v>75.508886850427487</v>
      </c>
      <c r="G52" s="700">
        <f t="shared" si="6"/>
        <v>0</v>
      </c>
      <c r="H52" s="700">
        <f t="shared" si="6"/>
        <v>42667.554987547439</v>
      </c>
      <c r="I52" s="700">
        <f t="shared" si="6"/>
        <v>7203.4930834925581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50005.532510996236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176.16841337965764</v>
      </c>
      <c r="D54" s="671">
        <f ca="1">+landbouw!C12</f>
        <v>0</v>
      </c>
      <c r="E54" s="671">
        <f>+landbouw!D12</f>
        <v>67.089241985364438</v>
      </c>
      <c r="F54" s="671">
        <f>+landbouw!E12</f>
        <v>6.7614576601906728</v>
      </c>
      <c r="G54" s="671">
        <f>+landbouw!F12</f>
        <v>1127.1835747535094</v>
      </c>
      <c r="H54" s="671">
        <f>+landbouw!G12</f>
        <v>0</v>
      </c>
      <c r="I54" s="671">
        <f>+landbouw!H12</f>
        <v>0</v>
      </c>
      <c r="J54" s="671">
        <f>+landbouw!I12</f>
        <v>0</v>
      </c>
      <c r="K54" s="671">
        <f>+landbouw!J12</f>
        <v>51.972910126725218</v>
      </c>
      <c r="L54" s="671">
        <f>+landbouw!K12</f>
        <v>0</v>
      </c>
      <c r="M54" s="671">
        <f>+landbouw!L12</f>
        <v>0</v>
      </c>
      <c r="N54" s="671">
        <f>+landbouw!M12</f>
        <v>0</v>
      </c>
      <c r="O54" s="671">
        <f>+landbouw!N12</f>
        <v>0</v>
      </c>
      <c r="P54" s="671">
        <f>+landbouw!O12</f>
        <v>0</v>
      </c>
      <c r="Q54" s="672">
        <f>+landbouw!P12</f>
        <v>0</v>
      </c>
      <c r="R54" s="699">
        <f ca="1">SUM(C54:Q54)</f>
        <v>1429.1755979054474</v>
      </c>
    </row>
    <row r="55" spans="1:18" ht="15" thickBot="1">
      <c r="A55" s="793" t="s">
        <v>808</v>
      </c>
      <c r="B55" s="803"/>
      <c r="C55" s="671">
        <f ca="1">C25*'EF ele_warmte'!B12</f>
        <v>254.32274362708932</v>
      </c>
      <c r="D55" s="671"/>
      <c r="E55" s="671">
        <f>E25*EF_CO2_aardgas</f>
        <v>1059.5943569610279</v>
      </c>
      <c r="F55" s="671"/>
      <c r="G55" s="671"/>
      <c r="H55" s="671"/>
      <c r="I55" s="671"/>
      <c r="J55" s="671"/>
      <c r="K55" s="671"/>
      <c r="L55" s="671"/>
      <c r="M55" s="671"/>
      <c r="N55" s="671"/>
      <c r="O55" s="671"/>
      <c r="P55" s="671"/>
      <c r="Q55" s="672"/>
      <c r="R55" s="699">
        <f ca="1">SUM(C55:Q55)</f>
        <v>1313.9171005881171</v>
      </c>
    </row>
    <row r="56" spans="1:18" ht="15.75" thickBot="1">
      <c r="A56" s="791" t="s">
        <v>809</v>
      </c>
      <c r="B56" s="804"/>
      <c r="C56" s="700">
        <f ca="1">SUM(C54:C55)</f>
        <v>430.49115700674696</v>
      </c>
      <c r="D56" s="700">
        <f t="shared" ref="D56:Q56" ca="1" si="7">SUM(D54:D55)</f>
        <v>0</v>
      </c>
      <c r="E56" s="700">
        <f t="shared" si="7"/>
        <v>1126.6835989463923</v>
      </c>
      <c r="F56" s="700">
        <f t="shared" si="7"/>
        <v>6.7614576601906728</v>
      </c>
      <c r="G56" s="700">
        <f t="shared" si="7"/>
        <v>1127.1835747535094</v>
      </c>
      <c r="H56" s="700">
        <f t="shared" si="7"/>
        <v>0</v>
      </c>
      <c r="I56" s="700">
        <f t="shared" si="7"/>
        <v>0</v>
      </c>
      <c r="J56" s="700">
        <f t="shared" si="7"/>
        <v>0</v>
      </c>
      <c r="K56" s="700">
        <f t="shared" si="7"/>
        <v>51.972910126725218</v>
      </c>
      <c r="L56" s="700">
        <f t="shared" si="7"/>
        <v>0</v>
      </c>
      <c r="M56" s="700">
        <f t="shared" si="7"/>
        <v>0</v>
      </c>
      <c r="N56" s="700">
        <f t="shared" si="7"/>
        <v>0</v>
      </c>
      <c r="O56" s="700">
        <f t="shared" si="7"/>
        <v>0</v>
      </c>
      <c r="P56" s="700">
        <f t="shared" si="7"/>
        <v>0</v>
      </c>
      <c r="Q56" s="701">
        <f t="shared" si="7"/>
        <v>0</v>
      </c>
      <c r="R56" s="702">
        <f ca="1">SUM(R54:R55)</f>
        <v>2743.0926984935645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27661.827201268829</v>
      </c>
      <c r="D61" s="708">
        <f t="shared" ref="D61:Q61" ca="1" si="8">D46+D52+D56</f>
        <v>0</v>
      </c>
      <c r="E61" s="708">
        <f t="shared" ca="1" si="8"/>
        <v>54686.243792948815</v>
      </c>
      <c r="F61" s="708">
        <f t="shared" si="8"/>
        <v>1739.467591978135</v>
      </c>
      <c r="G61" s="708">
        <f t="shared" ca="1" si="8"/>
        <v>17784.717026292092</v>
      </c>
      <c r="H61" s="708">
        <f t="shared" si="8"/>
        <v>42667.554987547439</v>
      </c>
      <c r="I61" s="708">
        <f t="shared" si="8"/>
        <v>7203.4930834925581</v>
      </c>
      <c r="J61" s="708">
        <f t="shared" si="8"/>
        <v>0</v>
      </c>
      <c r="K61" s="708">
        <f t="shared" si="8"/>
        <v>144.44186741141039</v>
      </c>
      <c r="L61" s="708">
        <f t="shared" si="8"/>
        <v>0</v>
      </c>
      <c r="M61" s="708">
        <f t="shared" ca="1" si="8"/>
        <v>0</v>
      </c>
      <c r="N61" s="708">
        <f t="shared" si="8"/>
        <v>0</v>
      </c>
      <c r="O61" s="708">
        <f t="shared" ca="1" si="8"/>
        <v>0</v>
      </c>
      <c r="P61" s="708">
        <f t="shared" si="8"/>
        <v>0</v>
      </c>
      <c r="Q61" s="708">
        <f t="shared" si="8"/>
        <v>0</v>
      </c>
      <c r="R61" s="708">
        <f ca="1">R46+R52+R56</f>
        <v>151887.74555093929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0.17384343114286929</v>
      </c>
      <c r="D63" s="749">
        <f t="shared" ca="1" si="9"/>
        <v>0</v>
      </c>
      <c r="E63" s="984">
        <f t="shared" ca="1" si="9"/>
        <v>0.20200000000000004</v>
      </c>
      <c r="F63" s="749">
        <f t="shared" si="9"/>
        <v>0.22699999999999998</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7923.2613761713083</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11935.296900160085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14094</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16581.176470588238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33952.558276331394</v>
      </c>
      <c r="C78" s="723">
        <f>SUM(C72:C77)</f>
        <v>0</v>
      </c>
      <c r="D78" s="724">
        <f t="shared" ref="D78:H78" si="10">SUM(D76:D77)</f>
        <v>0</v>
      </c>
      <c r="E78" s="724">
        <f t="shared" si="10"/>
        <v>0</v>
      </c>
      <c r="F78" s="724">
        <f t="shared" si="10"/>
        <v>0</v>
      </c>
      <c r="G78" s="724">
        <f t="shared" si="10"/>
        <v>0</v>
      </c>
      <c r="H78" s="724">
        <f t="shared" si="10"/>
        <v>0</v>
      </c>
      <c r="I78" s="724">
        <f>SUM(I76:I77)</f>
        <v>0</v>
      </c>
      <c r="J78" s="724">
        <f>SUM(J76:J77)</f>
        <v>16581.176470588238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20134.285714285714</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23687.394957983193</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20134.285714285714</v>
      </c>
      <c r="C90" s="723">
        <f>SUM(C87:C89)</f>
        <v>0</v>
      </c>
      <c r="D90" s="723">
        <f t="shared" ref="D90:H90" si="12">SUM(D87:D89)</f>
        <v>0</v>
      </c>
      <c r="E90" s="723">
        <f t="shared" si="12"/>
        <v>0</v>
      </c>
      <c r="F90" s="723">
        <f t="shared" si="12"/>
        <v>0</v>
      </c>
      <c r="G90" s="723">
        <f t="shared" si="12"/>
        <v>0</v>
      </c>
      <c r="H90" s="723">
        <f t="shared" si="12"/>
        <v>0</v>
      </c>
      <c r="I90" s="723">
        <f>SUM(I87:I89)</f>
        <v>0</v>
      </c>
      <c r="J90" s="723">
        <f>SUM(J87:J89)</f>
        <v>23687.394957983193</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47614.81185480472</v>
      </c>
      <c r="C4" s="445">
        <f>huishoudens!C8</f>
        <v>0</v>
      </c>
      <c r="D4" s="445">
        <f>huishoudens!D8</f>
        <v>152402.55365565576</v>
      </c>
      <c r="E4" s="445">
        <f>huishoudens!E8</f>
        <v>1490.4385845547015</v>
      </c>
      <c r="F4" s="445">
        <f>huishoudens!F8</f>
        <v>37761.032813300641</v>
      </c>
      <c r="G4" s="445">
        <f>huishoudens!G8</f>
        <v>0</v>
      </c>
      <c r="H4" s="445">
        <f>huishoudens!H8</f>
        <v>0</v>
      </c>
      <c r="I4" s="445">
        <f>huishoudens!I8</f>
        <v>0</v>
      </c>
      <c r="J4" s="445">
        <f>huishoudens!J8</f>
        <v>181.70185344192083</v>
      </c>
      <c r="K4" s="445">
        <f>huishoudens!K8</f>
        <v>0</v>
      </c>
      <c r="L4" s="445">
        <f>huishoudens!L8</f>
        <v>0</v>
      </c>
      <c r="M4" s="445">
        <f>huishoudens!M8</f>
        <v>0</v>
      </c>
      <c r="N4" s="445">
        <f>huishoudens!N8</f>
        <v>19386.868322188555</v>
      </c>
      <c r="O4" s="445">
        <f>huishoudens!O8</f>
        <v>342.37000000000006</v>
      </c>
      <c r="P4" s="446">
        <f>huishoudens!P8</f>
        <v>533.86666666666667</v>
      </c>
      <c r="Q4" s="447">
        <f>SUM(B4:P4)</f>
        <v>259713.64375061297</v>
      </c>
    </row>
    <row r="5" spans="1:17">
      <c r="A5" s="444" t="s">
        <v>155</v>
      </c>
      <c r="B5" s="445">
        <f ca="1">tertiair!B16</f>
        <v>65943.219373175016</v>
      </c>
      <c r="C5" s="445">
        <f ca="1">tertiair!C16</f>
        <v>20134.285714285714</v>
      </c>
      <c r="D5" s="445">
        <f ca="1">tertiair!D16</f>
        <v>55035.43745786362</v>
      </c>
      <c r="E5" s="445">
        <f>tertiair!E16</f>
        <v>704.42811302404505</v>
      </c>
      <c r="F5" s="445">
        <f ca="1">tertiair!F16</f>
        <v>9190.7940923287097</v>
      </c>
      <c r="G5" s="445">
        <f>tertiair!G16</f>
        <v>0</v>
      </c>
      <c r="H5" s="445">
        <f>tertiair!H16</f>
        <v>0</v>
      </c>
      <c r="I5" s="445">
        <f>tertiair!I16</f>
        <v>0</v>
      </c>
      <c r="J5" s="445">
        <f>tertiair!J16</f>
        <v>0.14103661525294428</v>
      </c>
      <c r="K5" s="445">
        <f>tertiair!K16</f>
        <v>0</v>
      </c>
      <c r="L5" s="445">
        <f ca="1">tertiair!L16</f>
        <v>0</v>
      </c>
      <c r="M5" s="445">
        <f>tertiair!M16</f>
        <v>0</v>
      </c>
      <c r="N5" s="445">
        <f ca="1">tertiair!N16</f>
        <v>0</v>
      </c>
      <c r="O5" s="445">
        <f>tertiair!O16</f>
        <v>4.6900000000000004</v>
      </c>
      <c r="P5" s="446">
        <f>tertiair!P16</f>
        <v>38.133333333333333</v>
      </c>
      <c r="Q5" s="444">
        <f t="shared" ref="Q5:Q14" ca="1" si="0">SUM(B5:P5)</f>
        <v>151051.12912062564</v>
      </c>
    </row>
    <row r="6" spans="1:17">
      <c r="A6" s="444" t="s">
        <v>193</v>
      </c>
      <c r="B6" s="445">
        <f>'openbare verlichting'!B8</f>
        <v>2293.3820000000001</v>
      </c>
      <c r="C6" s="445"/>
      <c r="D6" s="445"/>
      <c r="E6" s="445"/>
      <c r="F6" s="445"/>
      <c r="G6" s="445"/>
      <c r="H6" s="445"/>
      <c r="I6" s="445"/>
      <c r="J6" s="445"/>
      <c r="K6" s="445"/>
      <c r="L6" s="445"/>
      <c r="M6" s="445"/>
      <c r="N6" s="445"/>
      <c r="O6" s="445"/>
      <c r="P6" s="446"/>
      <c r="Q6" s="444">
        <f t="shared" si="0"/>
        <v>2293.3820000000001</v>
      </c>
    </row>
    <row r="7" spans="1:17">
      <c r="A7" s="444" t="s">
        <v>111</v>
      </c>
      <c r="B7" s="445">
        <f>landbouw!B8</f>
        <v>1013.374001085365</v>
      </c>
      <c r="C7" s="445">
        <f>landbouw!C8</f>
        <v>0</v>
      </c>
      <c r="D7" s="445">
        <f>landbouw!D8</f>
        <v>332.12496032358632</v>
      </c>
      <c r="E7" s="445">
        <f>landbouw!E8</f>
        <v>29.78615709335098</v>
      </c>
      <c r="F7" s="445">
        <f>landbouw!F8</f>
        <v>4221.6613286648289</v>
      </c>
      <c r="G7" s="445">
        <f>landbouw!G8</f>
        <v>0</v>
      </c>
      <c r="H7" s="445">
        <f>landbouw!H8</f>
        <v>0</v>
      </c>
      <c r="I7" s="445">
        <f>landbouw!I8</f>
        <v>0</v>
      </c>
      <c r="J7" s="445">
        <f>landbouw!J8</f>
        <v>146.81613030148367</v>
      </c>
      <c r="K7" s="445">
        <f>landbouw!K8</f>
        <v>0</v>
      </c>
      <c r="L7" s="445">
        <f>landbouw!L8</f>
        <v>0</v>
      </c>
      <c r="M7" s="445">
        <f>landbouw!M8</f>
        <v>0</v>
      </c>
      <c r="N7" s="445">
        <f>landbouw!N8</f>
        <v>0</v>
      </c>
      <c r="O7" s="445">
        <f>landbouw!O8</f>
        <v>0</v>
      </c>
      <c r="P7" s="446">
        <f>landbouw!P8</f>
        <v>0</v>
      </c>
      <c r="Q7" s="444">
        <f t="shared" si="0"/>
        <v>5743.7625774686148</v>
      </c>
    </row>
    <row r="8" spans="1:17">
      <c r="A8" s="444" t="s">
        <v>627</v>
      </c>
      <c r="B8" s="445">
        <f>industrie!B18</f>
        <v>40658.09107967389</v>
      </c>
      <c r="C8" s="445">
        <f>industrie!C18</f>
        <v>0</v>
      </c>
      <c r="D8" s="445">
        <f>industrie!D18</f>
        <v>57531.174479780093</v>
      </c>
      <c r="E8" s="445">
        <f>industrie!E18</f>
        <v>5105.5617053618571</v>
      </c>
      <c r="F8" s="445">
        <f>industrie!F18</f>
        <v>15435.938830470212</v>
      </c>
      <c r="G8" s="445">
        <f>industrie!G18</f>
        <v>0</v>
      </c>
      <c r="H8" s="445">
        <f>industrie!H18</f>
        <v>0</v>
      </c>
      <c r="I8" s="445">
        <f>industrie!I18</f>
        <v>0</v>
      </c>
      <c r="J8" s="445">
        <f>industrie!J18</f>
        <v>79.368853684874693</v>
      </c>
      <c r="K8" s="445">
        <f>industrie!K18</f>
        <v>0</v>
      </c>
      <c r="L8" s="445">
        <f>industrie!L18</f>
        <v>0</v>
      </c>
      <c r="M8" s="445">
        <f>industrie!M18</f>
        <v>0</v>
      </c>
      <c r="N8" s="445">
        <f>industrie!N18</f>
        <v>2871.0856445485338</v>
      </c>
      <c r="O8" s="445">
        <f>industrie!O18</f>
        <v>0</v>
      </c>
      <c r="P8" s="446">
        <f>industrie!P18</f>
        <v>0</v>
      </c>
      <c r="Q8" s="444">
        <f t="shared" si="0"/>
        <v>121681.22059351948</v>
      </c>
    </row>
    <row r="9" spans="1:17" s="450" customFormat="1">
      <c r="A9" s="448" t="s">
        <v>553</v>
      </c>
      <c r="B9" s="449">
        <f>transport!B14</f>
        <v>110.81529472992763</v>
      </c>
      <c r="C9" s="449">
        <f>transport!C14</f>
        <v>0</v>
      </c>
      <c r="D9" s="449">
        <f>transport!D14</f>
        <v>177.17200077187317</v>
      </c>
      <c r="E9" s="449">
        <f>transport!E14</f>
        <v>332.63826806355718</v>
      </c>
      <c r="F9" s="449">
        <f>transport!F14</f>
        <v>0</v>
      </c>
      <c r="G9" s="449">
        <f>transport!G14</f>
        <v>157684.0778700537</v>
      </c>
      <c r="H9" s="449">
        <f>transport!H14</f>
        <v>28929.691098363688</v>
      </c>
      <c r="I9" s="449">
        <f>transport!I14</f>
        <v>0</v>
      </c>
      <c r="J9" s="449">
        <f>transport!J14</f>
        <v>0</v>
      </c>
      <c r="K9" s="449">
        <f>transport!K14</f>
        <v>0</v>
      </c>
      <c r="L9" s="449">
        <f>transport!L14</f>
        <v>0</v>
      </c>
      <c r="M9" s="449">
        <f>transport!M14</f>
        <v>10064.45145567806</v>
      </c>
      <c r="N9" s="449">
        <f>transport!N14</f>
        <v>0</v>
      </c>
      <c r="O9" s="449">
        <f>transport!O14</f>
        <v>0</v>
      </c>
      <c r="P9" s="449">
        <f>transport!P14</f>
        <v>0</v>
      </c>
      <c r="Q9" s="448">
        <f>SUM(B9:P9)</f>
        <v>197298.84598766081</v>
      </c>
    </row>
    <row r="10" spans="1:17">
      <c r="A10" s="444" t="s">
        <v>543</v>
      </c>
      <c r="B10" s="445">
        <f>transport!B54</f>
        <v>22.562243883168129</v>
      </c>
      <c r="C10" s="445">
        <f>transport!C54</f>
        <v>0</v>
      </c>
      <c r="D10" s="445">
        <f>transport!D54</f>
        <v>0</v>
      </c>
      <c r="E10" s="445">
        <f>transport!E54</f>
        <v>0</v>
      </c>
      <c r="F10" s="445">
        <f>transport!F54</f>
        <v>0</v>
      </c>
      <c r="G10" s="445">
        <f>transport!G54</f>
        <v>2119.4988623337067</v>
      </c>
      <c r="H10" s="445">
        <f>transport!H54</f>
        <v>0</v>
      </c>
      <c r="I10" s="445">
        <f>transport!I54</f>
        <v>0</v>
      </c>
      <c r="J10" s="445">
        <f>transport!J54</f>
        <v>0</v>
      </c>
      <c r="K10" s="445">
        <f>transport!K54</f>
        <v>0</v>
      </c>
      <c r="L10" s="445">
        <f>transport!L54</f>
        <v>0</v>
      </c>
      <c r="M10" s="445">
        <f>transport!M54</f>
        <v>122.05557565249698</v>
      </c>
      <c r="N10" s="445">
        <f>transport!N54</f>
        <v>0</v>
      </c>
      <c r="O10" s="445">
        <f>transport!O54</f>
        <v>0</v>
      </c>
      <c r="P10" s="446">
        <f>transport!P54</f>
        <v>0</v>
      </c>
      <c r="Q10" s="444">
        <f t="shared" si="0"/>
        <v>2264.1166818693719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1462.94134874777</v>
      </c>
      <c r="C14" s="452"/>
      <c r="D14" s="452">
        <f>'SEAP template'!E25</f>
        <v>5245.5166186189499</v>
      </c>
      <c r="E14" s="452"/>
      <c r="F14" s="452"/>
      <c r="G14" s="452"/>
      <c r="H14" s="452"/>
      <c r="I14" s="452"/>
      <c r="J14" s="452"/>
      <c r="K14" s="452"/>
      <c r="L14" s="452"/>
      <c r="M14" s="452"/>
      <c r="N14" s="452"/>
      <c r="O14" s="452"/>
      <c r="P14" s="453"/>
      <c r="Q14" s="444">
        <f t="shared" si="0"/>
        <v>6708.4579673667195</v>
      </c>
    </row>
    <row r="15" spans="1:17" s="454" customFormat="1">
      <c r="A15" s="999" t="s">
        <v>547</v>
      </c>
      <c r="B15" s="947">
        <f ca="1">SUM(B4:B14)</f>
        <v>159119.19719609985</v>
      </c>
      <c r="C15" s="947">
        <f t="shared" ref="C15:Q15" ca="1" si="1">SUM(C4:C14)</f>
        <v>20134.285714285714</v>
      </c>
      <c r="D15" s="947">
        <f t="shared" ca="1" si="1"/>
        <v>270723.97917301388</v>
      </c>
      <c r="E15" s="947">
        <f t="shared" si="1"/>
        <v>7662.8528280975115</v>
      </c>
      <c r="F15" s="947">
        <f t="shared" ca="1" si="1"/>
        <v>66609.427064764386</v>
      </c>
      <c r="G15" s="947">
        <f t="shared" si="1"/>
        <v>159803.57673238742</v>
      </c>
      <c r="H15" s="947">
        <f t="shared" si="1"/>
        <v>28929.691098363688</v>
      </c>
      <c r="I15" s="947">
        <f t="shared" si="1"/>
        <v>0</v>
      </c>
      <c r="J15" s="947">
        <f t="shared" si="1"/>
        <v>408.02787404353217</v>
      </c>
      <c r="K15" s="947">
        <f t="shared" si="1"/>
        <v>0</v>
      </c>
      <c r="L15" s="947">
        <f t="shared" ca="1" si="1"/>
        <v>0</v>
      </c>
      <c r="M15" s="947">
        <f t="shared" si="1"/>
        <v>10186.507031330557</v>
      </c>
      <c r="N15" s="947">
        <f t="shared" ca="1" si="1"/>
        <v>22257.953966737088</v>
      </c>
      <c r="O15" s="947">
        <f t="shared" si="1"/>
        <v>347.06000000000006</v>
      </c>
      <c r="P15" s="947">
        <f t="shared" si="1"/>
        <v>572</v>
      </c>
      <c r="Q15" s="947">
        <f t="shared" ca="1" si="1"/>
        <v>746754.55867912353</v>
      </c>
    </row>
    <row r="17" spans="1:17">
      <c r="A17" s="455" t="s">
        <v>548</v>
      </c>
      <c r="B17" s="754">
        <f ca="1">huishoudens!B10</f>
        <v>0.17384343114286932</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8277.5222660614218</v>
      </c>
      <c r="C22" s="445">
        <f t="shared" ref="C22:C32" ca="1" si="3">C4*$C$17</f>
        <v>0</v>
      </c>
      <c r="D22" s="445">
        <f t="shared" ref="D22:D32" si="4">D4*$D$17</f>
        <v>30785.315838442468</v>
      </c>
      <c r="E22" s="445">
        <f t="shared" ref="E22:E32" si="5">E4*$E$17</f>
        <v>338.32955869391725</v>
      </c>
      <c r="F22" s="445">
        <f t="shared" ref="F22:F32" si="6">F4*$F$17</f>
        <v>10082.195761151272</v>
      </c>
      <c r="G22" s="445">
        <f t="shared" ref="G22:G32" si="7">G4*$G$17</f>
        <v>0</v>
      </c>
      <c r="H22" s="445">
        <f t="shared" ref="H22:H32" si="8">H4*$H$17</f>
        <v>0</v>
      </c>
      <c r="I22" s="445">
        <f t="shared" ref="I22:I32" si="9">I4*$I$17</f>
        <v>0</v>
      </c>
      <c r="J22" s="445">
        <f t="shared" ref="J22:J32" si="10">J4*$J$17</f>
        <v>64.322456118439973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49547.685880467521</v>
      </c>
    </row>
    <row r="23" spans="1:17">
      <c r="A23" s="444" t="s">
        <v>155</v>
      </c>
      <c r="B23" s="445">
        <f t="shared" ca="1" si="2"/>
        <v>11463.795516439677</v>
      </c>
      <c r="C23" s="445">
        <f t="shared" ca="1" si="3"/>
        <v>0</v>
      </c>
      <c r="D23" s="445">
        <f t="shared" ca="1" si="4"/>
        <v>11117.158366488451</v>
      </c>
      <c r="E23" s="445">
        <f t="shared" si="5"/>
        <v>159.90518165645824</v>
      </c>
      <c r="F23" s="445">
        <f t="shared" ca="1" si="6"/>
        <v>2453.9420226517655</v>
      </c>
      <c r="G23" s="445">
        <f t="shared" si="7"/>
        <v>0</v>
      </c>
      <c r="H23" s="445">
        <f t="shared" si="8"/>
        <v>0</v>
      </c>
      <c r="I23" s="445">
        <f t="shared" si="9"/>
        <v>0</v>
      </c>
      <c r="J23" s="445">
        <f t="shared" si="10"/>
        <v>4.9926961799542272E-2</v>
      </c>
      <c r="K23" s="445">
        <f t="shared" si="11"/>
        <v>0</v>
      </c>
      <c r="L23" s="445">
        <f t="shared" ca="1" si="12"/>
        <v>0</v>
      </c>
      <c r="M23" s="445">
        <f t="shared" si="13"/>
        <v>0</v>
      </c>
      <c r="N23" s="445">
        <f t="shared" ca="1" si="14"/>
        <v>0</v>
      </c>
      <c r="O23" s="445">
        <f t="shared" si="15"/>
        <v>0</v>
      </c>
      <c r="P23" s="446">
        <f t="shared" si="16"/>
        <v>0</v>
      </c>
      <c r="Q23" s="444">
        <f t="shared" ref="Q23:Q32" ca="1" si="17">SUM(B23:P23)</f>
        <v>25194.851014198153</v>
      </c>
    </row>
    <row r="24" spans="1:17">
      <c r="A24" s="444" t="s">
        <v>193</v>
      </c>
      <c r="B24" s="445">
        <f t="shared" ca="1" si="2"/>
        <v>398.68939580129592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398.68939580129592</v>
      </c>
    </row>
    <row r="25" spans="1:17">
      <c r="A25" s="444" t="s">
        <v>111</v>
      </c>
      <c r="B25" s="445">
        <f t="shared" ca="1" si="2"/>
        <v>176.16841337965764</v>
      </c>
      <c r="C25" s="445">
        <f t="shared" ca="1" si="3"/>
        <v>0</v>
      </c>
      <c r="D25" s="445">
        <f t="shared" si="4"/>
        <v>67.089241985364438</v>
      </c>
      <c r="E25" s="445">
        <f t="shared" si="5"/>
        <v>6.7614576601906728</v>
      </c>
      <c r="F25" s="445">
        <f t="shared" si="6"/>
        <v>1127.1835747535094</v>
      </c>
      <c r="G25" s="445">
        <f t="shared" si="7"/>
        <v>0</v>
      </c>
      <c r="H25" s="445">
        <f t="shared" si="8"/>
        <v>0</v>
      </c>
      <c r="I25" s="445">
        <f t="shared" si="9"/>
        <v>0</v>
      </c>
      <c r="J25" s="445">
        <f t="shared" si="10"/>
        <v>51.972910126725218</v>
      </c>
      <c r="K25" s="445">
        <f t="shared" si="11"/>
        <v>0</v>
      </c>
      <c r="L25" s="445">
        <f t="shared" si="12"/>
        <v>0</v>
      </c>
      <c r="M25" s="445">
        <f t="shared" si="13"/>
        <v>0</v>
      </c>
      <c r="N25" s="445">
        <f t="shared" si="14"/>
        <v>0</v>
      </c>
      <c r="O25" s="445">
        <f t="shared" si="15"/>
        <v>0</v>
      </c>
      <c r="P25" s="446">
        <f t="shared" si="16"/>
        <v>0</v>
      </c>
      <c r="Q25" s="444">
        <f t="shared" ca="1" si="17"/>
        <v>1429.1755979054474</v>
      </c>
    </row>
    <row r="26" spans="1:17">
      <c r="A26" s="444" t="s">
        <v>627</v>
      </c>
      <c r="B26" s="445">
        <f t="shared" ca="1" si="2"/>
        <v>7068.1420570097971</v>
      </c>
      <c r="C26" s="445">
        <f t="shared" ca="1" si="3"/>
        <v>0</v>
      </c>
      <c r="D26" s="445">
        <f t="shared" si="4"/>
        <v>11621.297244915579</v>
      </c>
      <c r="E26" s="445">
        <f t="shared" si="5"/>
        <v>1158.9625071171415</v>
      </c>
      <c r="F26" s="445">
        <f t="shared" si="6"/>
        <v>4121.3956677355463</v>
      </c>
      <c r="G26" s="445">
        <f t="shared" si="7"/>
        <v>0</v>
      </c>
      <c r="H26" s="445">
        <f t="shared" si="8"/>
        <v>0</v>
      </c>
      <c r="I26" s="445">
        <f t="shared" si="9"/>
        <v>0</v>
      </c>
      <c r="J26" s="445">
        <f t="shared" si="10"/>
        <v>28.096574204445641</v>
      </c>
      <c r="K26" s="445">
        <f t="shared" si="11"/>
        <v>0</v>
      </c>
      <c r="L26" s="445">
        <f t="shared" si="12"/>
        <v>0</v>
      </c>
      <c r="M26" s="445">
        <f t="shared" si="13"/>
        <v>0</v>
      </c>
      <c r="N26" s="445">
        <f t="shared" si="14"/>
        <v>0</v>
      </c>
      <c r="O26" s="445">
        <f t="shared" si="15"/>
        <v>0</v>
      </c>
      <c r="P26" s="446">
        <f t="shared" si="16"/>
        <v>0</v>
      </c>
      <c r="Q26" s="444">
        <f t="shared" ca="1" si="17"/>
        <v>23997.894050982512</v>
      </c>
    </row>
    <row r="27" spans="1:17" s="450" customFormat="1">
      <c r="A27" s="448" t="s">
        <v>553</v>
      </c>
      <c r="B27" s="748">
        <f t="shared" ca="1" si="2"/>
        <v>19.264511058958945</v>
      </c>
      <c r="C27" s="449">
        <f t="shared" ca="1" si="3"/>
        <v>0</v>
      </c>
      <c r="D27" s="449">
        <f t="shared" si="4"/>
        <v>35.78874415591838</v>
      </c>
      <c r="E27" s="449">
        <f t="shared" si="5"/>
        <v>75.508886850427487</v>
      </c>
      <c r="F27" s="449">
        <f t="shared" si="6"/>
        <v>0</v>
      </c>
      <c r="G27" s="449">
        <f t="shared" si="7"/>
        <v>42101.648791304338</v>
      </c>
      <c r="H27" s="449">
        <f t="shared" si="8"/>
        <v>7203.4930834925581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49435.704016862204</v>
      </c>
    </row>
    <row r="28" spans="1:17">
      <c r="A28" s="444" t="s">
        <v>543</v>
      </c>
      <c r="B28" s="445">
        <f t="shared" ca="1" si="2"/>
        <v>3.9222978909321631</v>
      </c>
      <c r="C28" s="445">
        <f t="shared" ca="1" si="3"/>
        <v>0</v>
      </c>
      <c r="D28" s="445">
        <f t="shared" si="4"/>
        <v>0</v>
      </c>
      <c r="E28" s="445">
        <f t="shared" si="5"/>
        <v>0</v>
      </c>
      <c r="F28" s="445">
        <f t="shared" si="6"/>
        <v>0</v>
      </c>
      <c r="G28" s="445">
        <f t="shared" si="7"/>
        <v>565.90619624309977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569.82849413403198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254.32274362708932</v>
      </c>
      <c r="C32" s="445">
        <f t="shared" ca="1" si="3"/>
        <v>0</v>
      </c>
      <c r="D32" s="445">
        <f t="shared" si="4"/>
        <v>1059.5943569610279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1313.9171005881171</v>
      </c>
    </row>
    <row r="33" spans="1:17" s="454" customFormat="1">
      <c r="A33" s="999" t="s">
        <v>547</v>
      </c>
      <c r="B33" s="947">
        <f ca="1">SUM(B22:B32)</f>
        <v>27661.827201268832</v>
      </c>
      <c r="C33" s="947">
        <f t="shared" ref="C33:Q33" ca="1" si="18">SUM(C22:C32)</f>
        <v>0</v>
      </c>
      <c r="D33" s="947">
        <f t="shared" ca="1" si="18"/>
        <v>54686.243792948808</v>
      </c>
      <c r="E33" s="947">
        <f t="shared" si="18"/>
        <v>1739.467591978135</v>
      </c>
      <c r="F33" s="947">
        <f t="shared" ca="1" si="18"/>
        <v>17784.717026292092</v>
      </c>
      <c r="G33" s="947">
        <f t="shared" si="18"/>
        <v>42667.554987547439</v>
      </c>
      <c r="H33" s="947">
        <f t="shared" si="18"/>
        <v>7203.4930834925581</v>
      </c>
      <c r="I33" s="947">
        <f t="shared" si="18"/>
        <v>0</v>
      </c>
      <c r="J33" s="947">
        <f t="shared" si="18"/>
        <v>144.44186741141036</v>
      </c>
      <c r="K33" s="947">
        <f t="shared" si="18"/>
        <v>0</v>
      </c>
      <c r="L33" s="947">
        <f t="shared" ca="1" si="18"/>
        <v>0</v>
      </c>
      <c r="M33" s="947">
        <f t="shared" si="18"/>
        <v>0</v>
      </c>
      <c r="N33" s="947">
        <f t="shared" ca="1" si="18"/>
        <v>0</v>
      </c>
      <c r="O33" s="947">
        <f t="shared" si="18"/>
        <v>0</v>
      </c>
      <c r="P33" s="947">
        <f t="shared" si="18"/>
        <v>0</v>
      </c>
      <c r="Q33" s="947">
        <f t="shared" ca="1" si="18"/>
        <v>151887.74555093929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7923.2613761713083</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11935.296900160085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14094</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16581.176470588238</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33952.558276331394</v>
      </c>
      <c r="C10" s="1020">
        <f>SUM(C4:C9)</f>
        <v>0</v>
      </c>
      <c r="D10" s="1020">
        <f t="shared" ref="D10:H10" si="0">SUM(D8:D9)</f>
        <v>0</v>
      </c>
      <c r="E10" s="1020">
        <f t="shared" si="0"/>
        <v>0</v>
      </c>
      <c r="F10" s="1020">
        <f t="shared" si="0"/>
        <v>0</v>
      </c>
      <c r="G10" s="1020">
        <f t="shared" si="0"/>
        <v>0</v>
      </c>
      <c r="H10" s="1020">
        <f t="shared" si="0"/>
        <v>0</v>
      </c>
      <c r="I10" s="1020">
        <f>SUM(I8:I9)</f>
        <v>0</v>
      </c>
      <c r="J10" s="1020">
        <f>SUM(J8:J9)</f>
        <v>16581.176470588238</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0.17384343114286932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20134.285714285714</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23687.394957983193</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20134.285714285714</v>
      </c>
      <c r="C20" s="1020">
        <f>SUM(C17:C19)</f>
        <v>0</v>
      </c>
      <c r="D20" s="1020">
        <f t="shared" ref="D20:H20" si="2">SUM(D17:D19)</f>
        <v>0</v>
      </c>
      <c r="E20" s="1020">
        <f t="shared" si="2"/>
        <v>0</v>
      </c>
      <c r="F20" s="1020">
        <f t="shared" si="2"/>
        <v>0</v>
      </c>
      <c r="G20" s="1020">
        <f t="shared" si="2"/>
        <v>0</v>
      </c>
      <c r="H20" s="1020">
        <f t="shared" si="2"/>
        <v>0</v>
      </c>
      <c r="I20" s="1020">
        <f>SUM(I17:I19)</f>
        <v>0</v>
      </c>
      <c r="J20" s="1020">
        <f>SUM(J17:J19)</f>
        <v>23687.394957983193</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0.17384343114286932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0.17384343114286932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0.17384343114286932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14225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1469.88</v>
      </c>
      <c r="C14" s="324"/>
      <c r="D14" s="324"/>
      <c r="E14" s="324"/>
      <c r="F14" s="324"/>
    </row>
    <row r="15" spans="1:6">
      <c r="A15" s="1291" t="s">
        <v>183</v>
      </c>
      <c r="B15" s="1292">
        <v>18</v>
      </c>
      <c r="C15" s="324"/>
      <c r="D15" s="324"/>
      <c r="E15" s="324"/>
      <c r="F15" s="324"/>
    </row>
    <row r="16" spans="1:6">
      <c r="A16" s="1291" t="s">
        <v>6</v>
      </c>
      <c r="B16" s="1292">
        <v>511</v>
      </c>
      <c r="C16" s="324"/>
      <c r="D16" s="324"/>
      <c r="E16" s="324"/>
      <c r="F16" s="324"/>
    </row>
    <row r="17" spans="1:6">
      <c r="A17" s="1291" t="s">
        <v>7</v>
      </c>
      <c r="B17" s="1292">
        <v>325</v>
      </c>
      <c r="C17" s="324"/>
      <c r="D17" s="324"/>
      <c r="E17" s="324"/>
      <c r="F17" s="324"/>
    </row>
    <row r="18" spans="1:6">
      <c r="A18" s="1291" t="s">
        <v>8</v>
      </c>
      <c r="B18" s="1292">
        <v>422</v>
      </c>
      <c r="C18" s="324"/>
      <c r="D18" s="324"/>
      <c r="E18" s="324"/>
      <c r="F18" s="324"/>
    </row>
    <row r="19" spans="1:6">
      <c r="A19" s="1291" t="s">
        <v>9</v>
      </c>
      <c r="B19" s="1292">
        <v>428</v>
      </c>
      <c r="C19" s="324"/>
      <c r="D19" s="324"/>
      <c r="E19" s="324"/>
      <c r="F19" s="324"/>
    </row>
    <row r="20" spans="1:6">
      <c r="A20" s="1291" t="s">
        <v>10</v>
      </c>
      <c r="B20" s="1292">
        <v>431</v>
      </c>
      <c r="C20" s="324"/>
      <c r="D20" s="324"/>
      <c r="E20" s="324"/>
      <c r="F20" s="324"/>
    </row>
    <row r="21" spans="1:6">
      <c r="A21" s="1291" t="s">
        <v>11</v>
      </c>
      <c r="B21" s="1292">
        <v>2758</v>
      </c>
      <c r="C21" s="324"/>
      <c r="D21" s="324"/>
      <c r="E21" s="324"/>
      <c r="F21" s="324"/>
    </row>
    <row r="22" spans="1:6">
      <c r="A22" s="1291" t="s">
        <v>12</v>
      </c>
      <c r="B22" s="1292">
        <v>8006</v>
      </c>
      <c r="C22" s="324"/>
      <c r="D22" s="324"/>
      <c r="E22" s="324"/>
      <c r="F22" s="324"/>
    </row>
    <row r="23" spans="1:6">
      <c r="A23" s="1291" t="s">
        <v>13</v>
      </c>
      <c r="B23" s="1292">
        <v>153</v>
      </c>
      <c r="C23" s="324"/>
      <c r="D23" s="324"/>
      <c r="E23" s="324"/>
      <c r="F23" s="324"/>
    </row>
    <row r="24" spans="1:6">
      <c r="A24" s="1291" t="s">
        <v>14</v>
      </c>
      <c r="B24" s="1292">
        <v>4</v>
      </c>
      <c r="C24" s="324"/>
      <c r="D24" s="324"/>
      <c r="E24" s="324"/>
      <c r="F24" s="324"/>
    </row>
    <row r="25" spans="1:6">
      <c r="A25" s="1291" t="s">
        <v>15</v>
      </c>
      <c r="B25" s="1292">
        <v>659</v>
      </c>
      <c r="C25" s="324"/>
      <c r="D25" s="324"/>
      <c r="E25" s="324"/>
      <c r="F25" s="324"/>
    </row>
    <row r="26" spans="1:6">
      <c r="A26" s="1291" t="s">
        <v>16</v>
      </c>
      <c r="B26" s="1292">
        <v>175</v>
      </c>
      <c r="C26" s="324"/>
      <c r="D26" s="324"/>
      <c r="E26" s="324"/>
      <c r="F26" s="324"/>
    </row>
    <row r="27" spans="1:6">
      <c r="A27" s="1291" t="s">
        <v>17</v>
      </c>
      <c r="B27" s="1292">
        <v>1</v>
      </c>
      <c r="C27" s="324"/>
      <c r="D27" s="324"/>
      <c r="E27" s="324"/>
      <c r="F27" s="324"/>
    </row>
    <row r="28" spans="1:6" s="43" customFormat="1">
      <c r="A28" s="1293" t="s">
        <v>18</v>
      </c>
      <c r="B28" s="1294">
        <v>116719</v>
      </c>
      <c r="C28" s="330"/>
      <c r="D28" s="330"/>
      <c r="E28" s="330"/>
      <c r="F28" s="330"/>
    </row>
    <row r="29" spans="1:6">
      <c r="A29" s="1293" t="s">
        <v>722</v>
      </c>
      <c r="B29" s="1294">
        <v>103</v>
      </c>
      <c r="C29" s="330"/>
      <c r="D29" s="330"/>
      <c r="E29" s="330"/>
      <c r="F29" s="330"/>
    </row>
    <row r="30" spans="1:6">
      <c r="A30" s="1286" t="s">
        <v>723</v>
      </c>
      <c r="B30" s="1295">
        <v>3</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6</v>
      </c>
      <c r="D36" s="1292">
        <v>28190.774397721401</v>
      </c>
      <c r="E36" s="1292">
        <v>6</v>
      </c>
      <c r="F36" s="1292">
        <v>17197.232966882599</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11817</v>
      </c>
    </row>
    <row r="39" spans="1:6">
      <c r="A39" s="1291" t="s">
        <v>29</v>
      </c>
      <c r="B39" s="1291" t="s">
        <v>30</v>
      </c>
      <c r="C39" s="1292">
        <v>12247</v>
      </c>
      <c r="D39" s="1292">
        <v>168960702.500727</v>
      </c>
      <c r="E39" s="1292">
        <v>14160</v>
      </c>
      <c r="F39" s="1292">
        <v>42851942.198674202</v>
      </c>
    </row>
    <row r="40" spans="1:6">
      <c r="A40" s="1291" t="s">
        <v>29</v>
      </c>
      <c r="B40" s="1291" t="s">
        <v>28</v>
      </c>
      <c r="C40" s="1292">
        <v>0</v>
      </c>
      <c r="D40" s="1292">
        <v>0</v>
      </c>
      <c r="E40" s="1292">
        <v>0</v>
      </c>
      <c r="F40" s="1292">
        <v>0</v>
      </c>
    </row>
    <row r="41" spans="1:6">
      <c r="A41" s="1291" t="s">
        <v>31</v>
      </c>
      <c r="B41" s="1291" t="s">
        <v>32</v>
      </c>
      <c r="C41" s="1292">
        <v>173</v>
      </c>
      <c r="D41" s="1292">
        <v>3442117.4671403398</v>
      </c>
      <c r="E41" s="1292">
        <v>313</v>
      </c>
      <c r="F41" s="1292">
        <v>13201109.548433499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7</v>
      </c>
      <c r="D44" s="1292">
        <v>264860.20927647298</v>
      </c>
      <c r="E44" s="1292">
        <v>42</v>
      </c>
      <c r="F44" s="1292">
        <v>1420872.75486936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73997.384650822103</v>
      </c>
      <c r="E47" s="1292">
        <v>4</v>
      </c>
      <c r="F47" s="1292">
        <v>42200.391058137997</v>
      </c>
    </row>
    <row r="48" spans="1:6">
      <c r="A48" s="1291" t="s">
        <v>31</v>
      </c>
      <c r="B48" s="1291" t="s">
        <v>28</v>
      </c>
      <c r="C48" s="1292">
        <v>51</v>
      </c>
      <c r="D48" s="1292">
        <v>55317382.346971601</v>
      </c>
      <c r="E48" s="1292">
        <v>55</v>
      </c>
      <c r="F48" s="1292">
        <v>22168365.5149673</v>
      </c>
    </row>
    <row r="49" spans="1:6">
      <c r="A49" s="1291" t="s">
        <v>31</v>
      </c>
      <c r="B49" s="1291" t="s">
        <v>39</v>
      </c>
      <c r="C49" s="1292">
        <v>4</v>
      </c>
      <c r="D49" s="1292">
        <v>928983.18177864503</v>
      </c>
      <c r="E49" s="1292">
        <v>12</v>
      </c>
      <c r="F49" s="1292">
        <v>1588018.4453279399</v>
      </c>
    </row>
    <row r="50" spans="1:6">
      <c r="A50" s="1291" t="s">
        <v>31</v>
      </c>
      <c r="B50" s="1291" t="s">
        <v>40</v>
      </c>
      <c r="C50" s="1292">
        <v>55</v>
      </c>
      <c r="D50" s="1292">
        <v>3754449.2990735802</v>
      </c>
      <c r="E50" s="1292">
        <v>114</v>
      </c>
      <c r="F50" s="1292">
        <v>2237524.4250176498</v>
      </c>
    </row>
    <row r="51" spans="1:6">
      <c r="A51" s="1291" t="s">
        <v>41</v>
      </c>
      <c r="B51" s="1291" t="s">
        <v>42</v>
      </c>
      <c r="C51" s="1292">
        <v>7</v>
      </c>
      <c r="D51" s="1292">
        <v>151616.24485066801</v>
      </c>
      <c r="E51" s="1292">
        <v>60</v>
      </c>
      <c r="F51" s="1292">
        <v>894822.82361182896</v>
      </c>
    </row>
    <row r="52" spans="1:6">
      <c r="A52" s="1291" t="s">
        <v>41</v>
      </c>
      <c r="B52" s="1291" t="s">
        <v>28</v>
      </c>
      <c r="C52" s="1292">
        <v>5</v>
      </c>
      <c r="D52" s="1292">
        <v>216593.24553024801</v>
      </c>
      <c r="E52" s="1292">
        <v>8</v>
      </c>
      <c r="F52" s="1292">
        <v>118551.17747353599</v>
      </c>
    </row>
    <row r="53" spans="1:6">
      <c r="A53" s="1291" t="s">
        <v>43</v>
      </c>
      <c r="B53" s="1291" t="s">
        <v>44</v>
      </c>
      <c r="C53" s="1292">
        <v>336</v>
      </c>
      <c r="D53" s="1292">
        <v>5245516.6186189502</v>
      </c>
      <c r="E53" s="1292">
        <v>510</v>
      </c>
      <c r="F53" s="1292">
        <v>1462941.3487477701</v>
      </c>
    </row>
    <row r="54" spans="1:6">
      <c r="A54" s="1291" t="s">
        <v>45</v>
      </c>
      <c r="B54" s="1291" t="s">
        <v>46</v>
      </c>
      <c r="C54" s="1292">
        <v>0</v>
      </c>
      <c r="D54" s="1292">
        <v>0</v>
      </c>
      <c r="E54" s="1292">
        <v>1</v>
      </c>
      <c r="F54" s="1292">
        <v>2293382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120</v>
      </c>
      <c r="D57" s="1292">
        <v>3819383.6020074999</v>
      </c>
      <c r="E57" s="1292">
        <v>193</v>
      </c>
      <c r="F57" s="1292">
        <v>6314077.6383113703</v>
      </c>
    </row>
    <row r="58" spans="1:6">
      <c r="A58" s="1291" t="s">
        <v>48</v>
      </c>
      <c r="B58" s="1291" t="s">
        <v>50</v>
      </c>
      <c r="C58" s="1292">
        <v>130</v>
      </c>
      <c r="D58" s="1292">
        <v>13551173.5906229</v>
      </c>
      <c r="E58" s="1292">
        <v>147</v>
      </c>
      <c r="F58" s="1292">
        <v>6577050.5773154702</v>
      </c>
    </row>
    <row r="59" spans="1:6">
      <c r="A59" s="1291" t="s">
        <v>48</v>
      </c>
      <c r="B59" s="1291" t="s">
        <v>51</v>
      </c>
      <c r="C59" s="1292">
        <v>389</v>
      </c>
      <c r="D59" s="1292">
        <v>13228508.9028625</v>
      </c>
      <c r="E59" s="1292">
        <v>586</v>
      </c>
      <c r="F59" s="1292">
        <v>16906804.9200956</v>
      </c>
    </row>
    <row r="60" spans="1:6">
      <c r="A60" s="1291" t="s">
        <v>48</v>
      </c>
      <c r="B60" s="1291" t="s">
        <v>52</v>
      </c>
      <c r="C60" s="1292">
        <v>160</v>
      </c>
      <c r="D60" s="1292">
        <v>4960697.1750400998</v>
      </c>
      <c r="E60" s="1292">
        <v>188</v>
      </c>
      <c r="F60" s="1292">
        <v>3157971.3712835698</v>
      </c>
    </row>
    <row r="61" spans="1:6">
      <c r="A61" s="1291" t="s">
        <v>48</v>
      </c>
      <c r="B61" s="1291" t="s">
        <v>53</v>
      </c>
      <c r="C61" s="1292">
        <v>303</v>
      </c>
      <c r="D61" s="1292">
        <v>11949976.9214681</v>
      </c>
      <c r="E61" s="1292">
        <v>532</v>
      </c>
      <c r="F61" s="1292">
        <v>16086383.4519406</v>
      </c>
    </row>
    <row r="62" spans="1:6">
      <c r="A62" s="1291" t="s">
        <v>48</v>
      </c>
      <c r="B62" s="1291" t="s">
        <v>54</v>
      </c>
      <c r="C62" s="1292">
        <v>28</v>
      </c>
      <c r="D62" s="1292">
        <v>3594670.3974741399</v>
      </c>
      <c r="E62" s="1292">
        <v>31</v>
      </c>
      <c r="F62" s="1292">
        <v>1162207.59881053</v>
      </c>
    </row>
    <row r="63" spans="1:6">
      <c r="A63" s="1291" t="s">
        <v>48</v>
      </c>
      <c r="B63" s="1291" t="s">
        <v>28</v>
      </c>
      <c r="C63" s="1292">
        <v>91</v>
      </c>
      <c r="D63" s="1292">
        <v>9910486.8139212299</v>
      </c>
      <c r="E63" s="1292">
        <v>74</v>
      </c>
      <c r="F63" s="1292">
        <v>1644723.8154178699</v>
      </c>
    </row>
    <row r="64" spans="1:6">
      <c r="A64" s="1291" t="s">
        <v>55</v>
      </c>
      <c r="B64" s="1291" t="s">
        <v>56</v>
      </c>
      <c r="C64" s="1292">
        <v>0</v>
      </c>
      <c r="D64" s="1292">
        <v>0</v>
      </c>
      <c r="E64" s="1292">
        <v>0</v>
      </c>
      <c r="F64" s="1292">
        <v>0</v>
      </c>
    </row>
    <row r="65" spans="1:6">
      <c r="A65" s="1291" t="s">
        <v>55</v>
      </c>
      <c r="B65" s="1291" t="s">
        <v>28</v>
      </c>
      <c r="C65" s="1292">
        <v>2</v>
      </c>
      <c r="D65" s="1292">
        <v>95939.965010373897</v>
      </c>
      <c r="E65" s="1292">
        <v>4</v>
      </c>
      <c r="F65" s="1292">
        <v>34609.391463874199</v>
      </c>
    </row>
    <row r="66" spans="1:6">
      <c r="A66" s="1291" t="s">
        <v>55</v>
      </c>
      <c r="B66" s="1291" t="s">
        <v>57</v>
      </c>
      <c r="C66" s="1292">
        <v>0</v>
      </c>
      <c r="D66" s="1292">
        <v>0</v>
      </c>
      <c r="E66" s="1292">
        <v>16</v>
      </c>
      <c r="F66" s="1292">
        <v>660177.66441487905</v>
      </c>
    </row>
    <row r="67" spans="1:6">
      <c r="A67" s="1293" t="s">
        <v>55</v>
      </c>
      <c r="B67" s="1293" t="s">
        <v>58</v>
      </c>
      <c r="C67" s="1292">
        <v>0</v>
      </c>
      <c r="D67" s="1292">
        <v>0</v>
      </c>
      <c r="E67" s="1292">
        <v>0</v>
      </c>
      <c r="F67" s="1292">
        <v>0</v>
      </c>
    </row>
    <row r="68" spans="1:6">
      <c r="A68" s="1286" t="s">
        <v>55</v>
      </c>
      <c r="B68" s="1286" t="s">
        <v>59</v>
      </c>
      <c r="C68" s="1295">
        <v>18</v>
      </c>
      <c r="D68" s="1295">
        <v>644750.75242090505</v>
      </c>
      <c r="E68" s="1295">
        <v>35</v>
      </c>
      <c r="F68" s="1295">
        <v>1306789.21139534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90536437</v>
      </c>
      <c r="E73" s="443"/>
      <c r="F73" s="324"/>
    </row>
    <row r="74" spans="1:6">
      <c r="A74" s="1291" t="s">
        <v>63</v>
      </c>
      <c r="B74" s="1291" t="s">
        <v>648</v>
      </c>
      <c r="C74" s="1305" t="s">
        <v>650</v>
      </c>
      <c r="D74" s="1306">
        <v>6973003.5</v>
      </c>
      <c r="E74" s="443"/>
      <c r="F74" s="324"/>
    </row>
    <row r="75" spans="1:6">
      <c r="A75" s="1291" t="s">
        <v>64</v>
      </c>
      <c r="B75" s="1291" t="s">
        <v>647</v>
      </c>
      <c r="C75" s="1305" t="s">
        <v>651</v>
      </c>
      <c r="D75" s="1306">
        <v>29053965</v>
      </c>
      <c r="E75" s="443"/>
      <c r="F75" s="324"/>
    </row>
    <row r="76" spans="1:6">
      <c r="A76" s="1291" t="s">
        <v>64</v>
      </c>
      <c r="B76" s="1291" t="s">
        <v>648</v>
      </c>
      <c r="C76" s="1305" t="s">
        <v>652</v>
      </c>
      <c r="D76" s="1306">
        <v>1061333.5</v>
      </c>
      <c r="E76" s="443"/>
      <c r="F76" s="324"/>
    </row>
    <row r="77" spans="1:6">
      <c r="A77" s="1291" t="s">
        <v>65</v>
      </c>
      <c r="B77" s="1291" t="s">
        <v>647</v>
      </c>
      <c r="C77" s="1305" t="s">
        <v>653</v>
      </c>
      <c r="D77" s="1306">
        <v>76363703</v>
      </c>
      <c r="E77" s="443"/>
      <c r="F77" s="324"/>
    </row>
    <row r="78" spans="1:6">
      <c r="A78" s="1286" t="s">
        <v>65</v>
      </c>
      <c r="B78" s="1286" t="s">
        <v>648</v>
      </c>
      <c r="C78" s="1286" t="s">
        <v>654</v>
      </c>
      <c r="D78" s="1307">
        <v>16910210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615809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7923.2613761713083</v>
      </c>
      <c r="C90" s="324"/>
      <c r="D90" s="324"/>
      <c r="E90" s="324"/>
      <c r="F90" s="324"/>
    </row>
    <row r="91" spans="1:6">
      <c r="A91" s="1291" t="s">
        <v>67</v>
      </c>
      <c r="B91" s="1292">
        <v>4762.869656130516</v>
      </c>
      <c r="C91" s="324"/>
      <c r="D91" s="324"/>
      <c r="E91" s="324"/>
      <c r="F91" s="324"/>
    </row>
    <row r="92" spans="1:6">
      <c r="A92" s="1286" t="s">
        <v>68</v>
      </c>
      <c r="B92" s="1287">
        <v>7172.427244029569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9352</v>
      </c>
      <c r="C97" s="324"/>
      <c r="D97" s="324"/>
      <c r="E97" s="324"/>
      <c r="F97" s="324"/>
    </row>
    <row r="98" spans="1:6">
      <c r="A98" s="1291" t="s">
        <v>71</v>
      </c>
      <c r="B98" s="1292">
        <v>4</v>
      </c>
      <c r="C98" s="324"/>
      <c r="D98" s="324"/>
      <c r="E98" s="324"/>
      <c r="F98" s="324"/>
    </row>
    <row r="99" spans="1:6">
      <c r="A99" s="1291" t="s">
        <v>72</v>
      </c>
      <c r="B99" s="1292">
        <v>84</v>
      </c>
      <c r="C99" s="324"/>
      <c r="D99" s="324"/>
      <c r="E99" s="324"/>
      <c r="F99" s="324"/>
    </row>
    <row r="100" spans="1:6">
      <c r="A100" s="1291" t="s">
        <v>73</v>
      </c>
      <c r="B100" s="1292">
        <v>634</v>
      </c>
      <c r="C100" s="324"/>
      <c r="D100" s="324"/>
      <c r="E100" s="324"/>
      <c r="F100" s="324"/>
    </row>
    <row r="101" spans="1:6">
      <c r="A101" s="1291" t="s">
        <v>74</v>
      </c>
      <c r="B101" s="1292">
        <v>133</v>
      </c>
      <c r="C101" s="324"/>
      <c r="D101" s="324"/>
      <c r="E101" s="324"/>
      <c r="F101" s="324"/>
    </row>
    <row r="102" spans="1:6">
      <c r="A102" s="1291" t="s">
        <v>75</v>
      </c>
      <c r="B102" s="1292">
        <v>247</v>
      </c>
      <c r="C102" s="324"/>
      <c r="D102" s="324"/>
      <c r="E102" s="324"/>
      <c r="F102" s="324"/>
    </row>
    <row r="103" spans="1:6">
      <c r="A103" s="1291" t="s">
        <v>76</v>
      </c>
      <c r="B103" s="1292">
        <v>504</v>
      </c>
      <c r="C103" s="324"/>
      <c r="D103" s="324"/>
      <c r="E103" s="324"/>
      <c r="F103" s="324"/>
    </row>
    <row r="104" spans="1:6">
      <c r="A104" s="1291" t="s">
        <v>77</v>
      </c>
      <c r="B104" s="1292">
        <v>2008</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17</v>
      </c>
      <c r="C123" s="1292">
        <v>18</v>
      </c>
      <c r="D123" s="324"/>
      <c r="E123" s="324"/>
      <c r="F123" s="324"/>
    </row>
    <row r="124" spans="1:6" s="43" customFormat="1">
      <c r="A124" s="1293" t="s">
        <v>88</v>
      </c>
      <c r="B124" s="1314">
        <v>1</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199</v>
      </c>
      <c r="C129" s="324"/>
      <c r="D129" s="324"/>
      <c r="E129" s="324"/>
      <c r="F129" s="324"/>
    </row>
    <row r="130" spans="1:6">
      <c r="A130" s="1291" t="s">
        <v>289</v>
      </c>
      <c r="B130" s="1292">
        <v>3</v>
      </c>
      <c r="C130" s="324"/>
      <c r="D130" s="324"/>
      <c r="E130" s="324"/>
      <c r="F130" s="324"/>
    </row>
    <row r="131" spans="1:6">
      <c r="A131" s="1291" t="s">
        <v>290</v>
      </c>
      <c r="B131" s="1292">
        <v>2</v>
      </c>
      <c r="C131" s="324"/>
      <c r="D131" s="324"/>
      <c r="E131" s="324"/>
      <c r="F131" s="324"/>
    </row>
    <row r="132" spans="1:6">
      <c r="A132" s="1286" t="s">
        <v>291</v>
      </c>
      <c r="B132" s="1287">
        <v>10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159119.19719609988</v>
      </c>
      <c r="C3" s="43" t="s">
        <v>169</v>
      </c>
      <c r="D3" s="43"/>
      <c r="E3" s="154"/>
      <c r="F3" s="43"/>
      <c r="G3" s="43"/>
      <c r="H3" s="43"/>
      <c r="I3" s="43"/>
      <c r="J3" s="43"/>
      <c r="K3" s="96"/>
    </row>
    <row r="4" spans="1:11">
      <c r="A4" s="352" t="s">
        <v>170</v>
      </c>
      <c r="B4" s="49">
        <f>IF(ISERROR('SEAP template'!B78+'SEAP template'!C78),0,'SEAP template'!B78+'SEAP template'!C78)</f>
        <v>33952.558276331394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0.17384343114286932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20134.285714285714</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2293.3820000000001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2293.3820000000001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0.17384343114286932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398.68939580129592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42851.942198674202</v>
      </c>
      <c r="C5" s="17">
        <f>IF(ISERROR('Eigen informatie GS &amp; warmtenet'!B57),0,'Eigen informatie GS &amp; warmtenet'!B57)</f>
        <v>0</v>
      </c>
      <c r="D5" s="30">
        <f>(SUM(HH_hh_gas_kWh,HH_rest_gas_kWh)/1000)*0.902</f>
        <v>152402.55365565576</v>
      </c>
      <c r="E5" s="17">
        <f>B32*B41</f>
        <v>1490.4385845547015</v>
      </c>
      <c r="F5" s="17">
        <f>B36*B45</f>
        <v>37761.032813300641</v>
      </c>
      <c r="G5" s="18"/>
      <c r="H5" s="17"/>
      <c r="I5" s="17"/>
      <c r="J5" s="17">
        <f>B35*B44+C35*C44</f>
        <v>181.70185344192083</v>
      </c>
      <c r="K5" s="17"/>
      <c r="L5" s="17"/>
      <c r="M5" s="17"/>
      <c r="N5" s="17">
        <f>B34*B43+C34*C43</f>
        <v>19386.868322188555</v>
      </c>
      <c r="O5" s="17">
        <f>B52*B53*B54</f>
        <v>342.37000000000006</v>
      </c>
      <c r="P5" s="17">
        <f>B60*B61*B62/1000-B60*B61*B62/1000/B63</f>
        <v>533.86666666666667</v>
      </c>
    </row>
    <row r="6" spans="1:16">
      <c r="A6" s="16" t="s">
        <v>613</v>
      </c>
      <c r="B6" s="756">
        <f>kWh_PV_kleiner_dan_10kW</f>
        <v>4762.869656130516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47614.81185480472</v>
      </c>
      <c r="C8" s="21">
        <f>C5</f>
        <v>0</v>
      </c>
      <c r="D8" s="21">
        <f>D5</f>
        <v>152402.55365565576</v>
      </c>
      <c r="E8" s="21">
        <f>E5</f>
        <v>1490.4385845547015</v>
      </c>
      <c r="F8" s="21">
        <f>F5</f>
        <v>37761.032813300641</v>
      </c>
      <c r="G8" s="21"/>
      <c r="H8" s="21"/>
      <c r="I8" s="21"/>
      <c r="J8" s="21">
        <f>J5</f>
        <v>181.70185344192083</v>
      </c>
      <c r="K8" s="21"/>
      <c r="L8" s="21">
        <f>L5</f>
        <v>0</v>
      </c>
      <c r="M8" s="21">
        <f>M5</f>
        <v>0</v>
      </c>
      <c r="N8" s="21">
        <f>N5</f>
        <v>19386.868322188555</v>
      </c>
      <c r="O8" s="21">
        <f>O5</f>
        <v>342.37000000000006</v>
      </c>
      <c r="P8" s="21">
        <f>P5</f>
        <v>533.86666666666667</v>
      </c>
    </row>
    <row r="9" spans="1:16">
      <c r="B9" s="19"/>
      <c r="C9" s="19"/>
      <c r="D9" s="254"/>
      <c r="E9" s="19"/>
      <c r="F9" s="19"/>
      <c r="G9" s="19"/>
      <c r="H9" s="19"/>
      <c r="I9" s="19"/>
      <c r="J9" s="19"/>
      <c r="K9" s="19"/>
      <c r="L9" s="19"/>
      <c r="M9" s="19"/>
      <c r="N9" s="19"/>
      <c r="O9" s="19"/>
      <c r="P9" s="19"/>
    </row>
    <row r="10" spans="1:16">
      <c r="A10" s="24" t="s">
        <v>213</v>
      </c>
      <c r="B10" s="25">
        <f ca="1">'EF ele_warmte'!B12</f>
        <v>0.17384343114286932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8277.5222660614218</v>
      </c>
      <c r="C12" s="23">
        <f ca="1">C10*C8</f>
        <v>0</v>
      </c>
      <c r="D12" s="23">
        <f>D8*D10</f>
        <v>30785.315838442468</v>
      </c>
      <c r="E12" s="23">
        <f>E10*E8</f>
        <v>338.32955869391725</v>
      </c>
      <c r="F12" s="23">
        <f>F10*F8</f>
        <v>10082.195761151272</v>
      </c>
      <c r="G12" s="23"/>
      <c r="H12" s="23"/>
      <c r="I12" s="23"/>
      <c r="J12" s="23">
        <f>J10*J8</f>
        <v>64.322456118439973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14225</v>
      </c>
      <c r="C26" s="36"/>
      <c r="D26" s="225"/>
    </row>
    <row r="27" spans="1:5" s="15" customFormat="1">
      <c r="A27" s="227" t="s">
        <v>768</v>
      </c>
      <c r="B27" s="37">
        <f>SUM(HH_hh_gas_aantal,HH_rest_gas_aantal)</f>
        <v>12247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11634.65</v>
      </c>
      <c r="C31" s="34" t="s">
        <v>110</v>
      </c>
      <c r="D31" s="171"/>
    </row>
    <row r="32" spans="1:5">
      <c r="A32" s="168" t="s">
        <v>72</v>
      </c>
      <c r="B32" s="33">
        <f>IF((B21*($B$26-($B$27-0.05*$B$27)-$B$60))&lt;0,0,B21*($B$26-($B$27-0.05*$B$27)-$B$60))</f>
        <v>28.187116568037705</v>
      </c>
      <c r="C32" s="34" t="s">
        <v>110</v>
      </c>
      <c r="D32" s="171"/>
    </row>
    <row r="33" spans="1:6">
      <c r="A33" s="168" t="s">
        <v>73</v>
      </c>
      <c r="B33" s="33">
        <f>IF((B22*($B$26-($B$27-0.05*$B$27)-$B$60))&lt;0,0,B22*($B$26-($B$27-0.05*$B$27)-$B$60))</f>
        <v>586.03382412418557</v>
      </c>
      <c r="C33" s="34" t="s">
        <v>110</v>
      </c>
      <c r="D33" s="171"/>
    </row>
    <row r="34" spans="1:6">
      <c r="A34" s="168" t="s">
        <v>74</v>
      </c>
      <c r="B34" s="33">
        <f>IF((B24*($B$26-($B$27-0.05*$B$27)-$B$60))&lt;0,0,B24*($B$26-($B$27-0.05*$B$27)-$B$60))</f>
        <v>116.54129449869811</v>
      </c>
      <c r="C34" s="33">
        <f>B26*C24</f>
        <v>2911.7942290699425</v>
      </c>
      <c r="D34" s="230"/>
    </row>
    <row r="35" spans="1:6">
      <c r="A35" s="168" t="s">
        <v>76</v>
      </c>
      <c r="B35" s="33">
        <f>IF((B19*($B$26-($B$27-0.05*$B$27)-$B$60))&lt;0,0,B19*($B$26-($B$27-0.05*$B$27)-$B$60))</f>
        <v>21.334607806128648</v>
      </c>
      <c r="C35" s="33">
        <f>B35/2</f>
        <v>10.667303903064324</v>
      </c>
      <c r="D35" s="230"/>
    </row>
    <row r="36" spans="1:6">
      <c r="A36" s="168" t="s">
        <v>77</v>
      </c>
      <c r="B36" s="33">
        <f>IF((B18*($B$26-($B$27-0.05*$B$27)-$B$60))&lt;0,0,B18*($B$26-($B$27-0.05*$B$27)-$B$60))</f>
        <v>1810.2531570029505</v>
      </c>
      <c r="C36" s="34" t="s">
        <v>110</v>
      </c>
      <c r="D36" s="171"/>
    </row>
    <row r="37" spans="1:6">
      <c r="A37" s="168" t="s">
        <v>78</v>
      </c>
      <c r="B37" s="33">
        <f>B60</f>
        <v>28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219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51849.219373175016</v>
      </c>
      <c r="C5" s="17">
        <f>IF(ISERROR('Eigen informatie GS &amp; warmtenet'!B58),0,'Eigen informatie GS &amp; warmtenet'!B58)</f>
        <v>0</v>
      </c>
      <c r="D5" s="30">
        <f>SUM(D6:D12)</f>
        <v>55035.43745786362</v>
      </c>
      <c r="E5" s="17">
        <f>SUM(E6:E12)</f>
        <v>704.42811302404505</v>
      </c>
      <c r="F5" s="17">
        <f>SUM(F6:F12)</f>
        <v>9190.7940923287097</v>
      </c>
      <c r="G5" s="18"/>
      <c r="H5" s="17"/>
      <c r="I5" s="17"/>
      <c r="J5" s="17">
        <f>SUM(J6:J12)</f>
        <v>0.14103661525294428</v>
      </c>
      <c r="K5" s="17"/>
      <c r="L5" s="17"/>
      <c r="M5" s="17"/>
      <c r="N5" s="17">
        <f>SUM(N6:N12)</f>
        <v>5665.7368070765015</v>
      </c>
      <c r="O5" s="17">
        <f>B38*B39*B40</f>
        <v>4.6900000000000004</v>
      </c>
      <c r="P5" s="17">
        <f>B46*B47*B48/1000-B46*B47*B48/1000/B49</f>
        <v>38.133333333333333</v>
      </c>
      <c r="R5" s="32"/>
    </row>
    <row r="6" spans="1:18">
      <c r="A6" s="32" t="s">
        <v>53</v>
      </c>
      <c r="B6" s="37">
        <f>B26</f>
        <v>16086.383451940599</v>
      </c>
      <c r="C6" s="33"/>
      <c r="D6" s="37">
        <f>IF(ISERROR(TER_kantoor_gas_kWh/1000),0,TER_kantoor_gas_kWh/1000)*0.902</f>
        <v>10778.879183164227</v>
      </c>
      <c r="E6" s="33">
        <f>$C$26*'E Balans VL '!I12/100/3.6*1000000</f>
        <v>0.10082410122944674</v>
      </c>
      <c r="F6" s="33">
        <f>$C$26*('E Balans VL '!L12+'E Balans VL '!N12)/100/3.6*1000000</f>
        <v>2417.3339364028598</v>
      </c>
      <c r="G6" s="34"/>
      <c r="H6" s="33"/>
      <c r="I6" s="33"/>
      <c r="J6" s="33">
        <f>$C$26*('E Balans VL '!D12+'E Balans VL '!E12)/100/3.6*1000000</f>
        <v>0</v>
      </c>
      <c r="K6" s="33"/>
      <c r="L6" s="33"/>
      <c r="M6" s="33"/>
      <c r="N6" s="33">
        <f>$C$26*'E Balans VL '!Y12/100/3.6*1000000</f>
        <v>15.384240703687126</v>
      </c>
      <c r="O6" s="33"/>
      <c r="P6" s="33"/>
      <c r="R6" s="32"/>
    </row>
    <row r="7" spans="1:18">
      <c r="A7" s="32" t="s">
        <v>52</v>
      </c>
      <c r="B7" s="37">
        <f t="shared" ref="B7:B12" si="0">B27</f>
        <v>3157.9713712835696</v>
      </c>
      <c r="C7" s="33"/>
      <c r="D7" s="37">
        <f>IF(ISERROR(TER_horeca_gas_kWh/1000),0,TER_horeca_gas_kWh/1000)*0.902</f>
        <v>4474.5488518861703</v>
      </c>
      <c r="E7" s="33">
        <f>$C$27*'E Balans VL '!I9/100/3.6*1000000</f>
        <v>45.221624019166022</v>
      </c>
      <c r="F7" s="33">
        <f>$C$27*('E Balans VL '!L9+'E Balans VL '!N9)/100/3.6*1000000</f>
        <v>399.9033295129442</v>
      </c>
      <c r="G7" s="34"/>
      <c r="H7" s="33"/>
      <c r="I7" s="33"/>
      <c r="J7" s="33">
        <f>$C$27*('E Balans VL '!D9+'E Balans VL '!E9)/100/3.6*1000000</f>
        <v>0</v>
      </c>
      <c r="K7" s="33"/>
      <c r="L7" s="33"/>
      <c r="M7" s="33"/>
      <c r="N7" s="33">
        <f>$C$27*'E Balans VL '!Y9/100/3.6*1000000</f>
        <v>0.90784714195207283</v>
      </c>
      <c r="O7" s="33"/>
      <c r="P7" s="33"/>
      <c r="R7" s="32"/>
    </row>
    <row r="8" spans="1:18">
      <c r="A8" s="6" t="s">
        <v>51</v>
      </c>
      <c r="B8" s="37">
        <f t="shared" si="0"/>
        <v>16906.804920095601</v>
      </c>
      <c r="C8" s="33"/>
      <c r="D8" s="37">
        <f>IF(ISERROR(TER_handel_gas_kWh/1000),0,TER_handel_gas_kWh/1000)*0.902</f>
        <v>11932.115030381976</v>
      </c>
      <c r="E8" s="33">
        <f>$C$28*'E Balans VL '!I13/100/3.6*1000000</f>
        <v>613.20772959808937</v>
      </c>
      <c r="F8" s="33">
        <f>$C$28*('E Balans VL '!L13+'E Balans VL '!N13)/100/3.6*1000000</f>
        <v>3256.421819894294</v>
      </c>
      <c r="G8" s="34"/>
      <c r="H8" s="33"/>
      <c r="I8" s="33"/>
      <c r="J8" s="33">
        <f>$C$28*('E Balans VL '!D13+'E Balans VL '!E13)/100/3.6*1000000</f>
        <v>0</v>
      </c>
      <c r="K8" s="33"/>
      <c r="L8" s="33"/>
      <c r="M8" s="33"/>
      <c r="N8" s="33">
        <f>$C$28*'E Balans VL '!Y13/100/3.6*1000000</f>
        <v>23.419814896652046</v>
      </c>
      <c r="O8" s="33"/>
      <c r="P8" s="33"/>
      <c r="R8" s="32"/>
    </row>
    <row r="9" spans="1:18">
      <c r="A9" s="32" t="s">
        <v>50</v>
      </c>
      <c r="B9" s="37">
        <f t="shared" si="0"/>
        <v>6577.05057731547</v>
      </c>
      <c r="C9" s="33"/>
      <c r="D9" s="37">
        <f>IF(ISERROR(TER_gezond_gas_kWh/1000),0,TER_gezond_gas_kWh/1000)*0.902</f>
        <v>12223.158578741857</v>
      </c>
      <c r="E9" s="33">
        <f>$C$29*'E Balans VL '!I10/100/3.6*1000000</f>
        <v>0.4117883027829165</v>
      </c>
      <c r="F9" s="33">
        <f>$C$29*('E Balans VL '!L10+'E Balans VL '!N10)/100/3.6*1000000</f>
        <v>977.04088847212051</v>
      </c>
      <c r="G9" s="34"/>
      <c r="H9" s="33"/>
      <c r="I9" s="33"/>
      <c r="J9" s="33">
        <f>$C$29*('E Balans VL '!D10+'E Balans VL '!E10)/100/3.6*1000000</f>
        <v>0</v>
      </c>
      <c r="K9" s="33"/>
      <c r="L9" s="33"/>
      <c r="M9" s="33"/>
      <c r="N9" s="33">
        <f>$C$29*'E Balans VL '!Y10/100/3.6*1000000</f>
        <v>101.73445296104801</v>
      </c>
      <c r="O9" s="33"/>
      <c r="P9" s="33"/>
      <c r="R9" s="32"/>
    </row>
    <row r="10" spans="1:18">
      <c r="A10" s="32" t="s">
        <v>49</v>
      </c>
      <c r="B10" s="37">
        <f t="shared" si="0"/>
        <v>6314.0776383113707</v>
      </c>
      <c r="C10" s="33"/>
      <c r="D10" s="37">
        <f>IF(ISERROR(TER_ander_gas_kWh/1000),0,TER_ander_gas_kWh/1000)*0.902</f>
        <v>3445.0840090107649</v>
      </c>
      <c r="E10" s="33">
        <f>$C$30*'E Balans VL '!I14/100/3.6*1000000</f>
        <v>7.5261549178566263</v>
      </c>
      <c r="F10" s="33">
        <f>$C$30*('E Balans VL '!L14+'E Balans VL '!N14)/100/3.6*1000000</f>
        <v>1652.0434120268487</v>
      </c>
      <c r="G10" s="34"/>
      <c r="H10" s="33"/>
      <c r="I10" s="33"/>
      <c r="J10" s="33">
        <f>$C$30*('E Balans VL '!D14+'E Balans VL '!E14)/100/3.6*1000000</f>
        <v>0.13705387502680752</v>
      </c>
      <c r="K10" s="33"/>
      <c r="L10" s="33"/>
      <c r="M10" s="33"/>
      <c r="N10" s="33">
        <f>$C$30*'E Balans VL '!Y14/100/3.6*1000000</f>
        <v>5361.760227148995</v>
      </c>
      <c r="O10" s="33"/>
      <c r="P10" s="33"/>
      <c r="R10" s="32"/>
    </row>
    <row r="11" spans="1:18">
      <c r="A11" s="32" t="s">
        <v>54</v>
      </c>
      <c r="B11" s="37">
        <f t="shared" si="0"/>
        <v>1162.20759881053</v>
      </c>
      <c r="C11" s="33"/>
      <c r="D11" s="37">
        <f>IF(ISERROR(TER_onderwijs_gas_kWh/1000),0,TER_onderwijs_gas_kWh/1000)*0.902</f>
        <v>3242.3926985216744</v>
      </c>
      <c r="E11" s="33">
        <f>$C$31*'E Balans VL '!I11/100/3.6*1000000</f>
        <v>17.535840752713348</v>
      </c>
      <c r="F11" s="33">
        <f>$C$31*('E Balans VL '!L11+'E Balans VL '!N11)/100/3.6*1000000</f>
        <v>203.63733813035256</v>
      </c>
      <c r="G11" s="34"/>
      <c r="H11" s="33"/>
      <c r="I11" s="33"/>
      <c r="J11" s="33">
        <f>$C$31*('E Balans VL '!D11+'E Balans VL '!E11)/100/3.6*1000000</f>
        <v>0</v>
      </c>
      <c r="K11" s="33"/>
      <c r="L11" s="33"/>
      <c r="M11" s="33"/>
      <c r="N11" s="33">
        <f>$C$31*'E Balans VL '!Y11/100/3.6*1000000</f>
        <v>3.2705405374391936</v>
      </c>
      <c r="O11" s="33"/>
      <c r="P11" s="33"/>
      <c r="R11" s="32"/>
    </row>
    <row r="12" spans="1:18">
      <c r="A12" s="32" t="s">
        <v>254</v>
      </c>
      <c r="B12" s="37">
        <f t="shared" si="0"/>
        <v>1644.7238154178699</v>
      </c>
      <c r="C12" s="33"/>
      <c r="D12" s="37">
        <f>IF(ISERROR(TER_rest_gas_kWh/1000),0,TER_rest_gas_kWh/1000)*0.902</f>
        <v>8939.2591061569492</v>
      </c>
      <c r="E12" s="33">
        <f>$C$32*'E Balans VL '!I8/100/3.6*1000000</f>
        <v>20.424151332207185</v>
      </c>
      <c r="F12" s="33">
        <f>$C$32*('E Balans VL '!L8+'E Balans VL '!N8)/100/3.6*1000000</f>
        <v>284.41336788928794</v>
      </c>
      <c r="G12" s="34"/>
      <c r="H12" s="33"/>
      <c r="I12" s="33"/>
      <c r="J12" s="33">
        <f>$C$32*('E Balans VL '!D8+'E Balans VL '!E8)/100/3.6*1000000</f>
        <v>3.9827402261367649E-3</v>
      </c>
      <c r="K12" s="33"/>
      <c r="L12" s="33"/>
      <c r="M12" s="33"/>
      <c r="N12" s="33">
        <f>$C$32*'E Balans VL '!Y8/100/3.6*1000000</f>
        <v>159.25968368672827</v>
      </c>
      <c r="O12" s="33"/>
      <c r="P12" s="33"/>
      <c r="R12" s="32"/>
    </row>
    <row r="13" spans="1:18">
      <c r="A13" s="16" t="s">
        <v>480</v>
      </c>
      <c r="B13" s="243">
        <f ca="1">'lokale energieproductie'!N38+'lokale energieproductie'!N31</f>
        <v>14094</v>
      </c>
      <c r="C13" s="243">
        <f ca="1">'lokale energieproductie'!O38+'lokale energieproductie'!O31</f>
        <v>20134.285714285714</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-40268.571428571428</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65943.219373175016</v>
      </c>
      <c r="C16" s="21">
        <f t="shared" ca="1" si="1"/>
        <v>20134.285714285714</v>
      </c>
      <c r="D16" s="21">
        <f t="shared" ca="1" si="1"/>
        <v>55035.43745786362</v>
      </c>
      <c r="E16" s="21">
        <f t="shared" si="1"/>
        <v>704.42811302404505</v>
      </c>
      <c r="F16" s="21">
        <f t="shared" ca="1" si="1"/>
        <v>9190.7940923287097</v>
      </c>
      <c r="G16" s="21">
        <f t="shared" si="1"/>
        <v>0</v>
      </c>
      <c r="H16" s="21">
        <f t="shared" si="1"/>
        <v>0</v>
      </c>
      <c r="I16" s="21">
        <f t="shared" si="1"/>
        <v>0</v>
      </c>
      <c r="J16" s="21">
        <f t="shared" si="1"/>
        <v>0.14103661525294428</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0.17384343114286932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11463.795516439677</v>
      </c>
      <c r="C20" s="23">
        <f t="shared" ref="C20:P20" ca="1" si="2">C16*C18</f>
        <v>0</v>
      </c>
      <c r="D20" s="23">
        <f t="shared" ca="1" si="2"/>
        <v>11117.158366488451</v>
      </c>
      <c r="E20" s="23">
        <f t="shared" si="2"/>
        <v>159.90518165645824</v>
      </c>
      <c r="F20" s="23">
        <f t="shared" ca="1" si="2"/>
        <v>2453.9420226517655</v>
      </c>
      <c r="G20" s="23">
        <f t="shared" si="2"/>
        <v>0</v>
      </c>
      <c r="H20" s="23">
        <f t="shared" si="2"/>
        <v>0</v>
      </c>
      <c r="I20" s="23">
        <f t="shared" si="2"/>
        <v>0</v>
      </c>
      <c r="J20" s="23">
        <f t="shared" si="2"/>
        <v>4.9926961799542272E-2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16086.383451940599</v>
      </c>
      <c r="C26" s="39">
        <f>IF(ISERROR(B26*3.6/1000000/'E Balans VL '!Z12*100),0,B26*3.6/1000000/'E Balans VL '!Z12*100)</f>
        <v>0.3400406632842542</v>
      </c>
      <c r="D26" s="233" t="s">
        <v>732</v>
      </c>
      <c r="F26" s="6"/>
    </row>
    <row r="27" spans="1:18">
      <c r="A27" s="228" t="s">
        <v>52</v>
      </c>
      <c r="B27" s="33">
        <f>IF(ISERROR(TER_horeca_ele_kWh/1000),0,TER_horeca_ele_kWh/1000)</f>
        <v>3157.9713712835696</v>
      </c>
      <c r="C27" s="39">
        <f>IF(ISERROR(B27*3.6/1000000/'E Balans VL '!Z9*100),0,B27*3.6/1000000/'E Balans VL '!Z9*100)</f>
        <v>0.24894170616226383</v>
      </c>
      <c r="D27" s="233" t="s">
        <v>732</v>
      </c>
      <c r="F27" s="6"/>
    </row>
    <row r="28" spans="1:18">
      <c r="A28" s="168" t="s">
        <v>51</v>
      </c>
      <c r="B28" s="33">
        <f>IF(ISERROR(TER_handel_ele_kWh/1000),0,TER_handel_ele_kWh/1000)</f>
        <v>16906.804920095601</v>
      </c>
      <c r="C28" s="39">
        <f>IF(ISERROR(B28*3.6/1000000/'E Balans VL '!Z13*100),0,B28*3.6/1000000/'E Balans VL '!Z13*100)</f>
        <v>0.4907037899277325</v>
      </c>
      <c r="D28" s="233" t="s">
        <v>732</v>
      </c>
      <c r="F28" s="6"/>
    </row>
    <row r="29" spans="1:18">
      <c r="A29" s="228" t="s">
        <v>50</v>
      </c>
      <c r="B29" s="33">
        <f>IF(ISERROR(TER_gezond_ele_kWh/1000),0,TER_gezond_ele_kWh/1000)</f>
        <v>6577.05057731547</v>
      </c>
      <c r="C29" s="39">
        <f>IF(ISERROR(B29*3.6/1000000/'E Balans VL '!Z10*100),0,B29*3.6/1000000/'E Balans VL '!Z10*100)</f>
        <v>0.69267142381252877</v>
      </c>
      <c r="D29" s="233" t="s">
        <v>732</v>
      </c>
      <c r="F29" s="6"/>
    </row>
    <row r="30" spans="1:18">
      <c r="A30" s="228" t="s">
        <v>49</v>
      </c>
      <c r="B30" s="33">
        <f>IF(ISERROR(TER_ander_ele_kWh/1000),0,TER_ander_ele_kWh/1000)</f>
        <v>6314.0776383113707</v>
      </c>
      <c r="C30" s="39">
        <f>IF(ISERROR(B30*3.6/1000000/'E Balans VL '!Z14*100),0,B30*3.6/1000000/'E Balans VL '!Z14*100)</f>
        <v>0.46572773801268785</v>
      </c>
      <c r="D30" s="233" t="s">
        <v>732</v>
      </c>
      <c r="F30" s="6"/>
    </row>
    <row r="31" spans="1:18">
      <c r="A31" s="228" t="s">
        <v>54</v>
      </c>
      <c r="B31" s="33">
        <f>IF(ISERROR(TER_onderwijs_ele_kWh/1000),0,TER_onderwijs_ele_kWh/1000)</f>
        <v>1162.20759881053</v>
      </c>
      <c r="C31" s="39">
        <f>IF(ISERROR(B31*3.6/1000000/'E Balans VL '!Z11*100),0,B31*3.6/1000000/'E Balans VL '!Z11*100)</f>
        <v>0.28863058779472611</v>
      </c>
      <c r="D31" s="233" t="s">
        <v>732</v>
      </c>
    </row>
    <row r="32" spans="1:18">
      <c r="A32" s="228" t="s">
        <v>254</v>
      </c>
      <c r="B32" s="33">
        <f>IF(ISERROR(TER_rest_ele_kWh/1000),0,TER_rest_ele_kWh/1000)</f>
        <v>1644.7238154178699</v>
      </c>
      <c r="C32" s="39">
        <f>IF(ISERROR(B32*3.6/1000000/'E Balans VL '!Z8*100),0,B32*3.6/1000000/'E Balans VL '!Z8*100)</f>
        <v>1.3533893851946954E-2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40658.09107967389</v>
      </c>
      <c r="C5" s="17">
        <f>IF(ISERROR('Eigen informatie GS &amp; warmtenet'!B59),0,'Eigen informatie GS &amp; warmtenet'!B59)</f>
        <v>0</v>
      </c>
      <c r="D5" s="30">
        <f>SUM(D6:D15)</f>
        <v>57531.174479780093</v>
      </c>
      <c r="E5" s="17">
        <f>SUM(E6:E15)</f>
        <v>5105.5617053618571</v>
      </c>
      <c r="F5" s="17">
        <f>SUM(F6:F15)</f>
        <v>15435.938830470212</v>
      </c>
      <c r="G5" s="18"/>
      <c r="H5" s="17"/>
      <c r="I5" s="17"/>
      <c r="J5" s="17">
        <f>SUM(J6:J15)</f>
        <v>79.368853684874693</v>
      </c>
      <c r="K5" s="17"/>
      <c r="L5" s="17"/>
      <c r="M5" s="17"/>
      <c r="N5" s="17">
        <f>SUM(N6:N15)</f>
        <v>2871.0856445485338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1420.8727548693601</v>
      </c>
      <c r="C8" s="33"/>
      <c r="D8" s="37">
        <f>IF( ISERROR(IND_metaal_Gas_kWH/1000),0,IND_metaal_Gas_kWH/1000)*0.902</f>
        <v>238.90390876737862</v>
      </c>
      <c r="E8" s="33">
        <f>C30*'E Balans VL '!I18/100/3.6*1000000</f>
        <v>13.063552689066574</v>
      </c>
      <c r="F8" s="33">
        <f>C30*'E Balans VL '!L18/100/3.6*1000000+C30*'E Balans VL '!N18/100/3.6*1000000</f>
        <v>133.23055876424237</v>
      </c>
      <c r="G8" s="34"/>
      <c r="H8" s="33"/>
      <c r="I8" s="33"/>
      <c r="J8" s="40">
        <f>C30*'E Balans VL '!D18/100/3.6*1000000+C30*'E Balans VL '!E18/100/3.6*1000000</f>
        <v>0</v>
      </c>
      <c r="K8" s="33"/>
      <c r="L8" s="33"/>
      <c r="M8" s="33"/>
      <c r="N8" s="33">
        <f>C30*'E Balans VL '!Y18/100/3.6*1000000</f>
        <v>20.271097939319418</v>
      </c>
      <c r="O8" s="33"/>
      <c r="P8" s="33"/>
      <c r="R8" s="32"/>
    </row>
    <row r="9" spans="1:18">
      <c r="A9" s="6" t="s">
        <v>32</v>
      </c>
      <c r="B9" s="37">
        <f t="shared" si="0"/>
        <v>13201.1095484335</v>
      </c>
      <c r="C9" s="33"/>
      <c r="D9" s="37">
        <f>IF( ISERROR(IND_andere_gas_kWh/1000),0,IND_andere_gas_kWh/1000)*0.902</f>
        <v>3104.7899553605862</v>
      </c>
      <c r="E9" s="33">
        <f>C31*'E Balans VL '!I19/100/3.6*1000000</f>
        <v>3858.9413162976007</v>
      </c>
      <c r="F9" s="33">
        <f>C31*'E Balans VL '!L19/100/3.6*1000000+C31*'E Balans VL '!N19/100/3.6*1000000</f>
        <v>10608.090754343766</v>
      </c>
      <c r="G9" s="34"/>
      <c r="H9" s="33"/>
      <c r="I9" s="33"/>
      <c r="J9" s="40">
        <f>C31*'E Balans VL '!D19/100/3.6*1000000+C31*'E Balans VL '!E19/100/3.6*1000000</f>
        <v>0</v>
      </c>
      <c r="K9" s="33"/>
      <c r="L9" s="33"/>
      <c r="M9" s="33"/>
      <c r="N9" s="33">
        <f>C31*'E Balans VL '!Y19/100/3.6*1000000</f>
        <v>1035.4771036430836</v>
      </c>
      <c r="O9" s="33"/>
      <c r="P9" s="33"/>
      <c r="R9" s="32"/>
    </row>
    <row r="10" spans="1:18">
      <c r="A10" s="6" t="s">
        <v>40</v>
      </c>
      <c r="B10" s="37">
        <f t="shared" si="0"/>
        <v>2237.5244250176497</v>
      </c>
      <c r="C10" s="33"/>
      <c r="D10" s="37">
        <f>IF( ISERROR(IND_voed_gas_kWh/1000),0,IND_voed_gas_kWh/1000)*0.902</f>
        <v>3386.5132677643696</v>
      </c>
      <c r="E10" s="33">
        <f>C32*'E Balans VL '!I20/100/3.6*1000000</f>
        <v>4.7335176143519497</v>
      </c>
      <c r="F10" s="33">
        <f>C32*'E Balans VL '!L20/100/3.6*1000000+C32*'E Balans VL '!N20/100/3.6*1000000</f>
        <v>142.26408850679923</v>
      </c>
      <c r="G10" s="34"/>
      <c r="H10" s="33"/>
      <c r="I10" s="33"/>
      <c r="J10" s="40">
        <f>C32*'E Balans VL '!D20/100/3.6*1000000+C32*'E Balans VL '!E20/100/3.6*1000000</f>
        <v>0</v>
      </c>
      <c r="K10" s="33"/>
      <c r="L10" s="33"/>
      <c r="M10" s="33"/>
      <c r="N10" s="33">
        <f>C32*'E Balans VL '!Y20/100/3.6*1000000</f>
        <v>154.41126575677001</v>
      </c>
      <c r="O10" s="33"/>
      <c r="P10" s="33"/>
      <c r="R10" s="32"/>
    </row>
    <row r="11" spans="1:18">
      <c r="A11" s="6" t="s">
        <v>39</v>
      </c>
      <c r="B11" s="37">
        <f t="shared" si="0"/>
        <v>1588.0184453279398</v>
      </c>
      <c r="C11" s="33"/>
      <c r="D11" s="37">
        <f>IF( ISERROR(IND_textiel_gas_kWh/1000),0,IND_textiel_gas_kWh/1000)*0.902</f>
        <v>837.94282996433788</v>
      </c>
      <c r="E11" s="33">
        <f>C33*'E Balans VL '!I21/100/3.6*1000000</f>
        <v>4.7162778691133891</v>
      </c>
      <c r="F11" s="33">
        <f>C33*'E Balans VL '!L21/100/3.6*1000000+C33*'E Balans VL '!N21/100/3.6*1000000</f>
        <v>160.43346062170346</v>
      </c>
      <c r="G11" s="34"/>
      <c r="H11" s="33"/>
      <c r="I11" s="33"/>
      <c r="J11" s="40">
        <f>C33*'E Balans VL '!D21/100/3.6*1000000+C33*'E Balans VL '!E21/100/3.6*1000000</f>
        <v>0</v>
      </c>
      <c r="K11" s="33"/>
      <c r="L11" s="33"/>
      <c r="M11" s="33"/>
      <c r="N11" s="33">
        <f>C33*'E Balans VL '!Y21/100/3.6*1000000</f>
        <v>87.584285189252498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42.200391058137996</v>
      </c>
      <c r="C13" s="33"/>
      <c r="D13" s="37">
        <f>IF( ISERROR(IND_papier_gas_kWh/1000),0,IND_papier_gas_kWh/1000)*0.902</f>
        <v>66.745640955041537</v>
      </c>
      <c r="E13" s="33">
        <f>C35*'E Balans VL '!I23/100/3.6*1000000</f>
        <v>5.9872703756984551E-2</v>
      </c>
      <c r="F13" s="33">
        <f>C35*'E Balans VL '!L23/100/3.6*1000000+C35*'E Balans VL '!N23/100/3.6*1000000</f>
        <v>1.030270229430565</v>
      </c>
      <c r="G13" s="34"/>
      <c r="H13" s="33"/>
      <c r="I13" s="33"/>
      <c r="J13" s="40">
        <f>C35*'E Balans VL '!D23/100/3.6*1000000+C35*'E Balans VL '!E23/100/3.6*1000000</f>
        <v>6.5266866785558004E-3</v>
      </c>
      <c r="K13" s="33"/>
      <c r="L13" s="33"/>
      <c r="M13" s="33"/>
      <c r="N13" s="33">
        <f>C35*'E Balans VL '!Y23/100/3.6*1000000</f>
        <v>17.242467921720174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22168.3655149673</v>
      </c>
      <c r="C15" s="33"/>
      <c r="D15" s="37">
        <f>IF( ISERROR(IND_rest_gas_kWh/1000),0,IND_rest_gas_kWh/1000)*0.902</f>
        <v>49896.278876968383</v>
      </c>
      <c r="E15" s="33">
        <f>C37*'E Balans VL '!I15/100/3.6*1000000</f>
        <v>1224.0471681879676</v>
      </c>
      <c r="F15" s="33">
        <f>C37*'E Balans VL '!L15/100/3.6*1000000+C37*'E Balans VL '!N15/100/3.6*1000000</f>
        <v>4390.8896980042691</v>
      </c>
      <c r="G15" s="34"/>
      <c r="H15" s="33"/>
      <c r="I15" s="33"/>
      <c r="J15" s="40">
        <f>C37*'E Balans VL '!D15/100/3.6*1000000+C37*'E Balans VL '!E15/100/3.6*1000000</f>
        <v>79.362326998196139</v>
      </c>
      <c r="K15" s="33"/>
      <c r="L15" s="33"/>
      <c r="M15" s="33"/>
      <c r="N15" s="33">
        <f>C37*'E Balans VL '!Y15/100/3.6*1000000</f>
        <v>1556.099424098388</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40658.09107967389</v>
      </c>
      <c r="C18" s="21">
        <f>C5+C16</f>
        <v>0</v>
      </c>
      <c r="D18" s="21">
        <f>MAX((D5+D16),0)</f>
        <v>57531.174479780093</v>
      </c>
      <c r="E18" s="21">
        <f>MAX((E5+E16),0)</f>
        <v>5105.5617053618571</v>
      </c>
      <c r="F18" s="21">
        <f>MAX((F5+F16),0)</f>
        <v>15435.938830470212</v>
      </c>
      <c r="G18" s="21"/>
      <c r="H18" s="21"/>
      <c r="I18" s="21"/>
      <c r="J18" s="21">
        <f>MAX((J5+J16),0)</f>
        <v>79.368853684874693</v>
      </c>
      <c r="K18" s="21"/>
      <c r="L18" s="21">
        <f>MAX((L5+L16),0)</f>
        <v>0</v>
      </c>
      <c r="M18" s="21"/>
      <c r="N18" s="21">
        <f>MAX((N5+N16),0)</f>
        <v>2871.0856445485338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0.17384343114286932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7068.1420570097971</v>
      </c>
      <c r="C22" s="23">
        <f ca="1">C18*C20</f>
        <v>0</v>
      </c>
      <c r="D22" s="23">
        <f>D18*D20</f>
        <v>11621.297244915579</v>
      </c>
      <c r="E22" s="23">
        <f>E18*E20</f>
        <v>1158.9625071171415</v>
      </c>
      <c r="F22" s="23">
        <f>F18*F20</f>
        <v>4121.3956677355463</v>
      </c>
      <c r="G22" s="23"/>
      <c r="H22" s="23"/>
      <c r="I22" s="23"/>
      <c r="J22" s="23">
        <f>J18*J20</f>
        <v>28.096574204445641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1420.8727548693601</v>
      </c>
      <c r="C30" s="39">
        <f>IF(ISERROR(B30*3.6/1000000/'E Balans VL '!Z18*100),0,B30*3.6/1000000/'E Balans VL '!Z18*100)</f>
        <v>8.0524502374483234E-2</v>
      </c>
      <c r="D30" s="233" t="s">
        <v>732</v>
      </c>
    </row>
    <row r="31" spans="1:18">
      <c r="A31" s="6" t="s">
        <v>32</v>
      </c>
      <c r="B31" s="37">
        <f>IF( ISERROR(IND_ander_ele_kWh/1000),0,IND_ander_ele_kWh/1000)</f>
        <v>13201.1095484335</v>
      </c>
      <c r="C31" s="39">
        <f>IF(ISERROR(B31*3.6/1000000/'E Balans VL '!Z19*100),0,B31*3.6/1000000/'E Balans VL '!Z19*100)</f>
        <v>0.59874736065349321</v>
      </c>
      <c r="D31" s="233" t="s">
        <v>732</v>
      </c>
    </row>
    <row r="32" spans="1:18">
      <c r="A32" s="168" t="s">
        <v>40</v>
      </c>
      <c r="B32" s="37">
        <f>IF( ISERROR(IND_voed_ele_kWh/1000),0,IND_voed_ele_kWh/1000)</f>
        <v>2237.5244250176497</v>
      </c>
      <c r="C32" s="39">
        <f>IF(ISERROR(B32*3.6/1000000/'E Balans VL '!Z20*100),0,B32*3.6/1000000/'E Balans VL '!Z20*100)</f>
        <v>6.921678796903169E-2</v>
      </c>
      <c r="D32" s="233" t="s">
        <v>732</v>
      </c>
    </row>
    <row r="33" spans="1:5">
      <c r="A33" s="168" t="s">
        <v>39</v>
      </c>
      <c r="B33" s="37">
        <f>IF( ISERROR(IND_textiel_ele_kWh/1000),0,IND_textiel_ele_kWh/1000)</f>
        <v>1588.0184453279398</v>
      </c>
      <c r="C33" s="39">
        <f>IF(ISERROR(B33*3.6/1000000/'E Balans VL '!Z21*100),0,B33*3.6/1000000/'E Balans VL '!Z21*100)</f>
        <v>0.20705995354691537</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42.200391058137996</v>
      </c>
      <c r="C35" s="39">
        <f>IF(ISERROR(B35*3.6/1000000/'E Balans VL '!Z22*100),0,B35*3.6/1000000/'E Balans VL '!Z22*100)</f>
        <v>7.5905337143216097E-3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22168.3655149673</v>
      </c>
      <c r="C37" s="39">
        <f>IF(ISERROR(B37*3.6/1000000/'E Balans VL '!Z15*100),0,B37*3.6/1000000/'E Balans VL '!Z15*100)</f>
        <v>0.17571152204822932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1013.374001085365</v>
      </c>
      <c r="C5" s="17">
        <f>'Eigen informatie GS &amp; warmtenet'!B60</f>
        <v>0</v>
      </c>
      <c r="D5" s="30">
        <f>IF(ISERROR(SUM(LB_lb_gas_kWh,LB_rest_gas_kWh)/1000),0,SUM(LB_lb_gas_kWh,LB_rest_gas_kWh)/1000)*0.902</f>
        <v>332.12496032358632</v>
      </c>
      <c r="E5" s="17">
        <f>B17*'E Balans VL '!I25/3.6*1000000/100</f>
        <v>29.78615709335098</v>
      </c>
      <c r="F5" s="17">
        <f>B17*('E Balans VL '!L25/3.6*1000000+'E Balans VL '!N25/3.6*1000000)/100</f>
        <v>4221.6613286648289</v>
      </c>
      <c r="G5" s="18"/>
      <c r="H5" s="17"/>
      <c r="I5" s="17"/>
      <c r="J5" s="17">
        <f>('E Balans VL '!D25+'E Balans VL '!E25)/3.6*1000000*landbouw!B17/100</f>
        <v>146.81613030148367</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1013.374001085365</v>
      </c>
      <c r="C8" s="21">
        <f>C5+C6</f>
        <v>0</v>
      </c>
      <c r="D8" s="21">
        <f>MAX((D5+D6),0)</f>
        <v>332.12496032358632</v>
      </c>
      <c r="E8" s="21">
        <f>MAX((E5+E6),0)</f>
        <v>29.78615709335098</v>
      </c>
      <c r="F8" s="21">
        <f>MAX((F5+F6),0)</f>
        <v>4221.6613286648289</v>
      </c>
      <c r="G8" s="21"/>
      <c r="H8" s="21"/>
      <c r="I8" s="21"/>
      <c r="J8" s="21">
        <f>MAX((J5+J6),0)</f>
        <v>146.81613030148367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0.17384343114286932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176.16841337965764</v>
      </c>
      <c r="C12" s="23">
        <f ca="1">C8*C10</f>
        <v>0</v>
      </c>
      <c r="D12" s="23">
        <f>D8*D10</f>
        <v>67.089241985364438</v>
      </c>
      <c r="E12" s="23">
        <f>E8*E10</f>
        <v>6.7614576601906728</v>
      </c>
      <c r="F12" s="23">
        <f>F8*F10</f>
        <v>1127.1835747535094</v>
      </c>
      <c r="G12" s="23"/>
      <c r="H12" s="23"/>
      <c r="I12" s="23"/>
      <c r="J12" s="23">
        <f>J8*J10</f>
        <v>51.972910126725218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0.14380095011798097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160.73538125264994</v>
      </c>
      <c r="C26" s="243">
        <f>B26*'GWP N2O_CH4'!B5</f>
        <v>3375.4430063056489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76.26708912230913</v>
      </c>
      <c r="C27" s="243">
        <f>B27*'GWP N2O_CH4'!B5</f>
        <v>1601.6088715684918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2.3921342865222286</v>
      </c>
      <c r="C28" s="243">
        <f>B28*'GWP N2O_CH4'!B4</f>
        <v>741.56162882189085</v>
      </c>
      <c r="D28" s="50"/>
    </row>
    <row r="29" spans="1:4">
      <c r="A29" s="41" t="s">
        <v>271</v>
      </c>
      <c r="B29" s="243">
        <f>B34*'ha_N2O bodem landbouw'!B4</f>
        <v>9.5633926171320969</v>
      </c>
      <c r="C29" s="243">
        <f>B29*'GWP N2O_CH4'!B4</f>
        <v>2964.6517113109498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2.1823332383124291E-3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3.989350610277395E-4</v>
      </c>
      <c r="C5" s="431" t="s">
        <v>210</v>
      </c>
      <c r="D5" s="416">
        <f>SUM(D6:D11)</f>
        <v>6.3781920277874342E-4</v>
      </c>
      <c r="E5" s="416">
        <f>SUM(E6:E11)</f>
        <v>1.197497765028806E-3</v>
      </c>
      <c r="F5" s="429" t="s">
        <v>210</v>
      </c>
      <c r="G5" s="416">
        <f>SUM(G6:G11)</f>
        <v>0.56766268033219336</v>
      </c>
      <c r="H5" s="416">
        <f>SUM(H6:H11)</f>
        <v>0.10414688795410929</v>
      </c>
      <c r="I5" s="431" t="s">
        <v>210</v>
      </c>
      <c r="J5" s="431" t="s">
        <v>210</v>
      </c>
      <c r="K5" s="431" t="s">
        <v>210</v>
      </c>
      <c r="L5" s="431" t="s">
        <v>210</v>
      </c>
      <c r="M5" s="416">
        <f>SUM(M6:M11)</f>
        <v>3.6232025240441015E-2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1.5880508731228778E-4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2.6697927753631693E-4</v>
      </c>
      <c r="E6" s="859">
        <f>vkm_GW_PW*SUMIFS(TableVerdeelsleutelVkm[LPG],TableVerdeelsleutelVkm[Voertuigtype],"Lichte voertuigen")*SUMIFS(TableECFTransport[EnergieConsumptieFactor (PJ per km)],TableECFTransport[Index],CONCATENATE($A6,"_LPG_LPG"))</f>
        <v>4.6975232598311961E-4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0.13937415502223183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4.3134133974220966E-2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9.4129008601173889E-3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2.0395019060640455E-6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6.5509654963955805E-2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1.0688284565324552E-6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3.8274372199855102E-3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6.7393431245325647E-5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1.4527580843460948E-4</v>
      </c>
      <c r="E8" s="419">
        <f>vkm_NGW_PW*SUMIFS(TableVerdeelsleutelVkm[LPG],TableVerdeelsleutelVkm[Voertuigtype],"Lichte voertuigen")*SUMIFS(TableECFTransport[EnergieConsumptieFactor (PJ per km)],TableECFTransport[Index],CONCATENATE($A8,"_LPG_LPG"))</f>
        <v>2.4477330752944619E-4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6.7535232693967301E-2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2.2988698324450055E-2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4.6225844900924171E-3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3.1042458192077838E-7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1.279341146188966E-2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1.9636154636391851E-7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7.474616583979201E-4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1.6544062598988849E-4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2.2556411680781701E-4</v>
      </c>
      <c r="E10" s="419">
        <f>vkm_SW_PW*SUMIFS(TableVerdeelsleutelVkm[LPG],TableVerdeelsleutelVkm[Voertuigtype],"Lichte voertuigen")*SUMIFS(TableECFTransport[EnergieConsumptieFactor (PJ per km)],TableECFTransport[Index],CONCATENATE($A10,"_LPG_LPG"))</f>
        <v>4.829721315162403E-4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0.1311317731884348</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3.8020122577610782E-2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8.7807722376015626E-3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4.9459899922527333E-6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0.15131845300171395</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2.6678878245797053E-6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8.8408687742462157E-3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110.81529472992763</v>
      </c>
      <c r="C14" s="21"/>
      <c r="D14" s="21">
        <f t="shared" ref="D14:M14" si="0">((D5)*10^9/3600)+D12</f>
        <v>177.17200077187317</v>
      </c>
      <c r="E14" s="21">
        <f t="shared" si="0"/>
        <v>332.63826806355718</v>
      </c>
      <c r="F14" s="21"/>
      <c r="G14" s="21">
        <f t="shared" si="0"/>
        <v>157684.0778700537</v>
      </c>
      <c r="H14" s="21">
        <f t="shared" si="0"/>
        <v>28929.691098363688</v>
      </c>
      <c r="I14" s="21"/>
      <c r="J14" s="21"/>
      <c r="K14" s="21"/>
      <c r="L14" s="21"/>
      <c r="M14" s="21">
        <f t="shared" si="0"/>
        <v>10064.45145567806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0.17384343114286932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19.264511058958945</v>
      </c>
      <c r="C18" s="23"/>
      <c r="D18" s="23">
        <f t="shared" ref="D18:M18" si="1">D14*D16</f>
        <v>35.78874415591838</v>
      </c>
      <c r="E18" s="23">
        <f t="shared" si="1"/>
        <v>75.508886850427487</v>
      </c>
      <c r="F18" s="23"/>
      <c r="G18" s="23">
        <f t="shared" si="1"/>
        <v>42101.648791304338</v>
      </c>
      <c r="H18" s="23">
        <f t="shared" si="1"/>
        <v>7203.4930834925581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8.1224077979405262E-5</v>
      </c>
      <c r="C50" s="313">
        <f t="shared" ref="C50:P50" si="2">SUM(C51:C52)</f>
        <v>0</v>
      </c>
      <c r="D50" s="313">
        <f t="shared" si="2"/>
        <v>0</v>
      </c>
      <c r="E50" s="313">
        <f t="shared" si="2"/>
        <v>0</v>
      </c>
      <c r="F50" s="313">
        <f t="shared" si="2"/>
        <v>0</v>
      </c>
      <c r="G50" s="313">
        <f t="shared" si="2"/>
        <v>7.630195904401344E-3</v>
      </c>
      <c r="H50" s="313">
        <f t="shared" si="2"/>
        <v>0</v>
      </c>
      <c r="I50" s="313">
        <f t="shared" si="2"/>
        <v>0</v>
      </c>
      <c r="J50" s="313">
        <f t="shared" si="2"/>
        <v>0</v>
      </c>
      <c r="K50" s="313">
        <f t="shared" si="2"/>
        <v>0</v>
      </c>
      <c r="L50" s="313">
        <f t="shared" si="2"/>
        <v>0</v>
      </c>
      <c r="M50" s="313">
        <f t="shared" si="2"/>
        <v>4.3940007234898916E-4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8.1224077979405262E-5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7.630195904401344E-3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4.3940007234898916E-4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22.562243883168129</v>
      </c>
      <c r="C54" s="21">
        <f t="shared" ref="C54:P54" si="3">(C50)*10^9/3600</f>
        <v>0</v>
      </c>
      <c r="D54" s="21">
        <f t="shared" si="3"/>
        <v>0</v>
      </c>
      <c r="E54" s="21">
        <f t="shared" si="3"/>
        <v>0</v>
      </c>
      <c r="F54" s="21">
        <f t="shared" si="3"/>
        <v>0</v>
      </c>
      <c r="G54" s="21">
        <f t="shared" si="3"/>
        <v>2119.4988623337067</v>
      </c>
      <c r="H54" s="21">
        <f t="shared" si="3"/>
        <v>0</v>
      </c>
      <c r="I54" s="21">
        <f t="shared" si="3"/>
        <v>0</v>
      </c>
      <c r="J54" s="21">
        <f t="shared" si="3"/>
        <v>0</v>
      </c>
      <c r="K54" s="21">
        <f t="shared" si="3"/>
        <v>0</v>
      </c>
      <c r="L54" s="21">
        <f t="shared" si="3"/>
        <v>0</v>
      </c>
      <c r="M54" s="21">
        <f t="shared" si="3"/>
        <v>122.05557565249698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0.17384343114286932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3.9222978909321631</v>
      </c>
      <c r="C58" s="23">
        <f t="shared" ref="C58:P58" ca="1" si="4">C54*C56</f>
        <v>0</v>
      </c>
      <c r="D58" s="23">
        <f t="shared" si="4"/>
        <v>0</v>
      </c>
      <c r="E58" s="23">
        <f t="shared" si="4"/>
        <v>0</v>
      </c>
      <c r="F58" s="23">
        <f t="shared" si="4"/>
        <v>0</v>
      </c>
      <c r="G58" s="23">
        <f t="shared" si="4"/>
        <v>565.90619624309977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7923.2613761713083</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11935.296900160085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14094</v>
      </c>
      <c r="C8" s="538">
        <f>B48</f>
        <v>0</v>
      </c>
      <c r="D8" s="1004"/>
      <c r="E8" s="1004">
        <f>E48</f>
        <v>0</v>
      </c>
      <c r="F8" s="1005"/>
      <c r="G8" s="539"/>
      <c r="H8" s="1004">
        <f>I48</f>
        <v>0</v>
      </c>
      <c r="I8" s="1004">
        <f>G48+F48</f>
        <v>0</v>
      </c>
      <c r="J8" s="1004">
        <f>H48+D48+C48</f>
        <v>16581.176470588238</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33952.558276331394</v>
      </c>
      <c r="C10" s="551">
        <f t="shared" ref="C10:L10" si="0">SUM(C8:C9)</f>
        <v>0</v>
      </c>
      <c r="D10" s="551">
        <f t="shared" si="0"/>
        <v>0</v>
      </c>
      <c r="E10" s="551">
        <f t="shared" si="0"/>
        <v>0</v>
      </c>
      <c r="F10" s="551">
        <f t="shared" si="0"/>
        <v>0</v>
      </c>
      <c r="G10" s="551">
        <f t="shared" si="0"/>
        <v>0</v>
      </c>
      <c r="H10" s="551">
        <f t="shared" si="0"/>
        <v>0</v>
      </c>
      <c r="I10" s="551">
        <f t="shared" si="0"/>
        <v>0</v>
      </c>
      <c r="J10" s="551">
        <f t="shared" si="0"/>
        <v>16581.176470588238</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20134.285714285714</v>
      </c>
      <c r="C17" s="563">
        <f>B49</f>
        <v>0</v>
      </c>
      <c r="D17" s="564"/>
      <c r="E17" s="564">
        <f>E49</f>
        <v>0</v>
      </c>
      <c r="F17" s="1010"/>
      <c r="G17" s="565"/>
      <c r="H17" s="563">
        <f>I49</f>
        <v>0</v>
      </c>
      <c r="I17" s="564">
        <f>G49+F49</f>
        <v>0</v>
      </c>
      <c r="J17" s="564">
        <f>H49+D49+C49</f>
        <v>23687.394957983193</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20134.285714285714</v>
      </c>
      <c r="C20" s="550">
        <f>SUM(C17:C19)</f>
        <v>0</v>
      </c>
      <c r="D20" s="550">
        <f t="shared" ref="D20:L20" si="1">SUM(D17:D19)</f>
        <v>0</v>
      </c>
      <c r="E20" s="550">
        <f t="shared" si="1"/>
        <v>0</v>
      </c>
      <c r="F20" s="550">
        <f t="shared" si="1"/>
        <v>0</v>
      </c>
      <c r="G20" s="550">
        <f t="shared" si="1"/>
        <v>0</v>
      </c>
      <c r="H20" s="550">
        <f t="shared" si="1"/>
        <v>0</v>
      </c>
      <c r="I20" s="550">
        <f t="shared" si="1"/>
        <v>0</v>
      </c>
      <c r="J20" s="550">
        <f t="shared" si="1"/>
        <v>23687.394957983193</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34027</v>
      </c>
      <c r="C28" s="764">
        <v>8930</v>
      </c>
      <c r="D28" s="621" t="s">
        <v>902</v>
      </c>
      <c r="E28" s="620" t="s">
        <v>903</v>
      </c>
      <c r="F28" s="620" t="s">
        <v>904</v>
      </c>
      <c r="G28" s="620" t="s">
        <v>905</v>
      </c>
      <c r="H28" s="620" t="s">
        <v>906</v>
      </c>
      <c r="I28" s="620" t="s">
        <v>907</v>
      </c>
      <c r="J28" s="763">
        <v>41613</v>
      </c>
      <c r="K28" s="763">
        <v>41613</v>
      </c>
      <c r="L28" s="620" t="s">
        <v>908</v>
      </c>
      <c r="M28" s="620">
        <v>3132</v>
      </c>
      <c r="N28" s="620">
        <v>14094</v>
      </c>
      <c r="O28" s="620">
        <v>20134.285714285714</v>
      </c>
      <c r="P28" s="620">
        <v>0</v>
      </c>
      <c r="Q28" s="620">
        <v>40268.571428571428</v>
      </c>
      <c r="R28" s="620">
        <v>0</v>
      </c>
      <c r="S28" s="620">
        <v>0</v>
      </c>
      <c r="T28" s="620">
        <v>0</v>
      </c>
      <c r="U28" s="620">
        <v>0</v>
      </c>
      <c r="V28" s="620">
        <v>0</v>
      </c>
      <c r="W28" s="620">
        <v>0</v>
      </c>
      <c r="X28" s="620">
        <v>1600</v>
      </c>
      <c r="Y28" s="620" t="s">
        <v>49</v>
      </c>
      <c r="Z28" s="622" t="s">
        <v>155</v>
      </c>
    </row>
    <row r="29" spans="1:26" s="558" customFormat="1">
      <c r="A29" s="576" t="s">
        <v>274</v>
      </c>
      <c r="B29" s="577"/>
      <c r="C29" s="577"/>
      <c r="D29" s="577"/>
      <c r="E29" s="577"/>
      <c r="F29" s="577"/>
      <c r="G29" s="577"/>
      <c r="H29" s="577"/>
      <c r="I29" s="577"/>
      <c r="J29" s="577"/>
      <c r="K29" s="577"/>
      <c r="L29" s="578"/>
      <c r="M29" s="578">
        <f>SUM(M28:M28)</f>
        <v>3132</v>
      </c>
      <c r="N29" s="578">
        <f>SUM(N28:N28)</f>
        <v>14094</v>
      </c>
      <c r="O29" s="578">
        <f>SUM(O28:O28)</f>
        <v>20134.285714285714</v>
      </c>
      <c r="P29" s="578">
        <f>SUM(P28:P28)</f>
        <v>0</v>
      </c>
      <c r="Q29" s="578">
        <f>SUM(Q28:Q28)</f>
        <v>40268.571428571428</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3132</v>
      </c>
      <c r="N31" s="578">
        <f ca="1">SUMIF($Z$28:AD28,"tertiair",N28:N28)</f>
        <v>14094</v>
      </c>
      <c r="O31" s="578">
        <f ca="1">SUMIF($Z$28:AE28,"tertiair",O28:O28)</f>
        <v>20134.285714285714</v>
      </c>
      <c r="P31" s="578">
        <f ca="1">SUMIF($Z$28:AF28,"tertiair",P28:P28)</f>
        <v>0</v>
      </c>
      <c r="Q31" s="578">
        <f ca="1">SUMIF($Z$28:AG28,"tertiair",Q28:Q28)</f>
        <v>40268.571428571428</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16581.176470588238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23687.394957983193</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2021-06-29T15:41:34Z</dcterms:modified>
</cp:coreProperties>
</file>