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N6" i="17" s="1"/>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I50" i="18" s="1"/>
  <c r="H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E50" i="18" l="1"/>
  <c r="E17" i="18" s="1"/>
  <c r="O9" i="18"/>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<sst xmlns="http://schemas.openxmlformats.org/spreadsheetml/2006/main" count="2501" uniqueCount="919">
  <si>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</si>
  <si>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</si>
  <si>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</si>
  <si>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</si>
  <si>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</si>
  <si>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</si>
  <si>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</si>
  <si>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</si>
  <si>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</si>
  <si>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</si>
  <si>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</si>
  <si>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</si>
  <si>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</si>
  <si>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</si>
  <si>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</si>
  <si>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</si>
  <si>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</si>
  <si>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</si>
  <si>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</si>
  <si>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</si>
  <si>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</si>
  <si>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</si>
  <si>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</si>
  <si>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</si>
  <si>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</si>
  <si>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</si>
  <si>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</si>
  <si>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</si>
  <si>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</si>
  <si>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</si>
  <si>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</si>
  <si>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</si>
  <si>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</si>
  <si>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</si>
  <si>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</si>
  <si>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</si>
  <si>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</si>
  <si>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</si>
  <si>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</si>
  <si>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</si>
  <si>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</si>
  <si>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</si>
  <si>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</si>
  <si>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</si>
  <si>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</si>
  <si>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</si>
  <si>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</si>
  <si>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</si>
  <si>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</si>
  <si>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</si>
  <si>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</si>
  <si>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</si>
  <si>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</si>
  <si>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</si>
  <si>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</si>
  <si>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</si>
  <si>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</si>
  <si>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</si>
  <si>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</si>
  <si>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</si>
  <si>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</si>
  <si>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</si>
  <si>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</si>
  <si>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</si>
  <si>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</si>
  <si>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</si>
  <si>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</si>
  <si>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</si>
  <si>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</si>
  <si>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</si>
  <si>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</si>
  <si>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</si>
  <si>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</si>
  <si>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</si>
  <si>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</si>
  <si>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</si>
  <si>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</si>
  <si>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</si>
  <si>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</si>
  <si>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</si>
  <si>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</si>
  <si>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</si>
  <si>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</si>
  <si>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</si>
  <si>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</si>
  <si>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</si>
  <si>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</si>
  <si>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</si>
  <si>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</si>
  <si>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</si>
  <si>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</si>
  <si>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</si>
  <si>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</si>
  <si>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</si>
  <si>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</si>
  <si>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</si>
  <si>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</si>
  <si>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</si>
  <si>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</si>
  <si>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</si>
  <si>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</si>
  <si>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</si>
  <si>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</si>
  <si>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</si>
  <si>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</si>
  <si>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</si>
  <si>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</si>
  <si>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</si>
  <si>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</si>
  <si>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</si>
  <si>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</si>
  <si>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</si>
  <si>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</si>
  <si>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</si>
  <si>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</si>
  <si>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</si>
  <si>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</si>
  <si>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</si>
  <si>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</si>
  <si>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</si>
  <si>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</si>
  <si>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</si>
  <si>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</si>
  <si>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</si>
  <si>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</si>
  <si>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</si>
  <si>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</si>
  <si>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</si>
  <si>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</si>
  <si>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</si>
  <si>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</si>
  <si>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</si>
  <si>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</si>
  <si>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</si>
  <si>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</si>
  <si>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</si>
  <si>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</si>
  <si>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</si>
  <si>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</si>
  <si>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</si>
  <si>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</si>
  <si>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</si>
  <si>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</si>
  <si>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</si>
  <si>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</si>
  <si>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</si>
  <si>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</si>
  <si>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</si>
  <si>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</si>
  <si>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</si>
  <si>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</si>
  <si>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</si>
  <si>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</si>
  <si>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</si>
  <si>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</si>
  <si>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</si>
  <si>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</si>
  <si>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</si>
  <si>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</si>
  <si>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</si>
  <si>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</si>
  <si>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</si>
  <si>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</si>
  <si>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</si>
  <si>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</si>
  <si>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</si>
  <si>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</si>
  <si>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</si>
  <si>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</si>
  <si>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</si>
  <si>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</si>
  <si>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</si>
  <si>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</si>
  <si>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</si>
  <si>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</si>
  <si>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</si>
  <si>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</si>
  <si>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</si>
  <si>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</si>
  <si>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</si>
  <si>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</si>
  <si>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</si>
  <si>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</si>
  <si>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</si>
  <si>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</si>
  <si>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</si>
  <si>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</si>
  <si>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</si>
  <si>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</si>
  <si>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</si>
  <si>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</si>
  <si>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</si>
  <si>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</si>
  <si>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</si>
  <si>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</si>
  <si>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</si>
  <si>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</si>
  <si>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</si>
  <si>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</si>
  <si>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</si>
  <si>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</si>
  <si>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</si>
  <si>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</si>
  <si>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</si>
  <si>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</si>
  <si>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</si>
  <si>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</si>
  <si>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</si>
  <si>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</si>
  <si>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</si>
  <si>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</si>
  <si>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</si>
  <si>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</si>
  <si>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</si>
  <si>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</si>
  <si>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</si>
  <si>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</si>
  <si>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</si>
  <si>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</si>
  <si>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</si>
  <si>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</si>
  <si>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</si>
  <si>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</si>
  <si>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</si>
  <si>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</si>
  <si>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</si>
  <si>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</si>
  <si>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</si>
  <si>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</si>
  <si>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</si>
  <si>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</si>
  <si>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</si>
  <si>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</si>
  <si>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</si>
  <si>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</si>
  <si>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</si>
  <si>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</si>
  <si>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</si>
  <si>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</si>
  <si>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</si>
  <si>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</si>
  <si>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</si>
  <si>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</si>
  <si>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</si>
  <si>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</si>
  <si>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</si>
  <si>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</si>
  <si>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</si>
  <si>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</si>
  <si>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</si>
  <si>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</si>
  <si>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</si>
  <si>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</si>
  <si>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</si>
  <si>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</si>
  <si>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</si>
  <si>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</si>
  <si>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</si>
  <si>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</si>
  <si>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</si>
  <si>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</si>
  <si>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</si>
  <si>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</si>
  <si>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</si>
  <si>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</si>
  <si>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</si>
  <si>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</si>
  <si>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</si>
  <si>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</si>
  <si>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</si>
  <si>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</si>
  <si>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</si>
  <si>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</si>
  <si>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</si>
  <si>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</si>
  <si>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</si>
  <si>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</si>
  <si>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</si>
  <si>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</si>
  <si>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</si>
  <si>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</si>
  <si>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</si>
  <si>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</si>
  <si>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</si>
  <si>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</si>
  <si>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</si>
  <si>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</si>
  <si>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</si>
  <si>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</si>
  <si>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</si>
  <si>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</si>
  <si>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</si>
  <si>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</si>
  <si>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</si>
  <si>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</si>
  <si>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</si>
  <si>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</si>
  <si>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</si>
  <si>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</si>
  <si>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</si>
  <si>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</si>
  <si>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</si>
  <si>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</si>
  <si>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</si>
  <si>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</si>
  <si>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</si>
  <si>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</si>
  <si>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</si>
  <si>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</si>
  <si>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</si>
  <si>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</si>
  <si>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</si>
  <si>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</si>
  <si>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</si>
  <si>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</si>
  <si>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</si>
  <si>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</si>
  <si>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</si>
  <si>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</si>
  <si>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</si>
  <si>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</si>
  <si>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</si>
  <si>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</si>
  <si>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</si>
  <si>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</si>
  <si>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</si>
  <si>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</si>
  <si>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</si>
  <si>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</si>
  <si>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</si>
  <si>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</si>
  <si>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</si>
  <si>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</si>
  <si>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</si>
  <si>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</si>
  <si>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</si>
  <si>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</si>
  <si>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</si>
  <si>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</si>
  <si>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</si>
  <si>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</si>
  <si>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</si>
  <si>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</si>
  <si>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</si>
  <si>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</si>
  <si>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</si>
  <si>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</si>
  <si>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</si>
  <si>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</si>
  <si>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</si>
  <si>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</si>
  <si>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</si>
  <si>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</si>
  <si>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</si>
  <si>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</si>
  <si>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</si>
  <si>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</si>
  <si>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</si>
  <si>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</si>
  <si>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</si>
  <si>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</si>
  <si>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</si>
  <si>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</si>
  <si>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</si>
  <si>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</si>
  <si>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</si>
  <si>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</si>
  <si>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</si>
  <si>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</si>
  <si>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</si>
  <si>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</si>
  <si>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</si>
  <si>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</si>
  <si>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</si>
  <si>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</si>
  <si>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</si>
  <si>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</si>
  <si>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</si>
  <si>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</si>
  <si>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</si>
  <si>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</si>
  <si>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</si>
  <si>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</si>
  <si>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</si>
  <si>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</si>
  <si>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</si>
  <si>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</si>
  <si>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</si>
  <si>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</si>
  <si>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</si>
  <si>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</si>
  <si>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</si>
  <si>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</si>
  <si>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</si>
  <si>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</si>
  <si>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</si>
  <si>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</si>
  <si>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</si>
  <si>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</si>
  <si>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</si>
  <si>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</si>
  <si>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</si>
  <si>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</si>
  <si>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</si>
  <si>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</si>
  <si>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</si>
  <si>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</si>
  <si>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</si>
  <si>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</si>
  <si>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</si>
  <si>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</si>
  <si>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</si>
  <si>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</si>
  <si>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</si>
  <si>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</si>
  <si>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</si>
  <si>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</si>
  <si>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</si>
  <si>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</si>
  <si>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</si>
  <si>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</si>
  <si>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</si>
  <si>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</si>
  <si>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</si>
  <si>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</si>
  <si>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</si>
  <si>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</si>
  <si>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</si>
  <si>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</si>
  <si>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</si>
  <si>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</si>
  <si>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</si>
  <si>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</si>
  <si>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</si>
  <si>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</si>
  <si>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</si>
  <si>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</si>
  <si>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</si>
  <si>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</si>
  <si>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</si>
  <si>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</si>
  <si>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</si>
  <si>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</si>
  <si>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</si>
  <si>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</si>
  <si>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</si>
  <si>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</si>
  <si>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</si>
  <si>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</si>
  <si>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</si>
  <si>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</si>
  <si>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</si>
  <si>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</si>
  <si>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</si>
  <si>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</si>
  <si>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</si>
  <si>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</si>
  <si>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</si>
  <si>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</si>
  <si>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</si>
  <si>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</si>
  <si>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</si>
  <si>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</si>
  <si>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</si>
  <si>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</si>
  <si>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</si>
  <si>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</si>
  <si>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</si>
  <si>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</si>
  <si>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</si>
  <si>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</si>
  <si>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</si>
  <si>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</si>
  <si>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</si>
  <si>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</si>
  <si>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</si>
  <si>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</si>
  <si>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</si>
  <si>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</si>
  <si>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</si>
  <si>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</si>
  <si>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</si>
  <si>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</si>
  <si>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</si>
  <si>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</si>
  <si>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</si>
  <si>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</si>
  <si>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</si>
  <si>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</si>
  <si>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</si>
  <si>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</si>
  <si>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</si>
  <si>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</si>
  <si>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</si>
  <si>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</si>
  <si>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</si>
  <si>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</si>
  <si>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</si>
  <si>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</si>
  <si>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</si>
  <si>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</si>
  <si>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</si>
  <si>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</si>
  <si>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</si>
  <si>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</si>
  <si>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</si>
  <si>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</si>
  <si>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</si>
  <si>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</si>
  <si>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</si>
  <si>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</si>
  <si>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</si>
  <si>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</si>
  <si>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</si>
  <si>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</si>
  <si>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</si>
  <si>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</si>
  <si>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</si>
  <si>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</si>
  <si>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</si>
  <si>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</si>
  <si>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</si>
  <si>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</si>
  <si>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</si>
  <si>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</si>
  <si>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</si>
  <si>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</si>
  <si>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</si>
  <si>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</si>
  <si>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</si>
  <si>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</si>
  <si>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</si>
  <si>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</si>
  <si>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</si>
  <si>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</si>
  <si>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</si>
  <si>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</si>
  <si>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</si>
  <si>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</si>
  <si>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</si>
  <si>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</si>
  <si>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</si>
  <si>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</si>
  <si>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</si>
  <si>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</si>
  <si>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</si>
  <si>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</si>
  <si>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</si>
  <si>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</si>
  <si>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</si>
  <si>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</si>
  <si>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</si>
  <si>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</si>
  <si>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</si>
  <si>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</si>
  <si>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</si>
  <si>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</si>
  <si>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</si>
  <si>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</si>
  <si>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</si>
  <si>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</si>
  <si>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</si>
  <si>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</si>
  <si>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</si>
  <si>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</si>
  <si>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</si>
  <si>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</si>
  <si>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</si>
  <si>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</si>
  <si>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</si>
  <si>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</si>
  <si>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</si>
  <si>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</si>
  <si>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</si>
  <si>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</si>
  <si>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</si>
  <si>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</si>
  <si>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</si>
  <si>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</si>
  <si>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</si>
  <si>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</si>
  <si>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</si>
  <si>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</si>
  <si>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</si>
  <si>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</si>
  <si>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</si>
  <si>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</si>
  <si>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</si>
  <si>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</si>
  <si>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</si>
  <si>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</si>
  <si>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</si>
  <si>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</si>
  <si>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</si>
  <si>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</si>
  <si>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</si>
  <si>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</si>
  <si>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</si>
  <si>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</si>
  <si>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</si>
  <si>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</si>
  <si>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</si>
  <si>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</si>
  <si>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</si>
  <si>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</si>
  <si>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</si>
  <si>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</si>
  <si>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</si>
  <si>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</si>
  <si>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</si>
  <si>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</si>
  <si>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</si>
  <si>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</si>
  <si>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</si>
  <si>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</si>
  <si>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</si>
  <si>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</si>
  <si>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</si>
  <si>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</si>
  <si>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</si>
  <si>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</si>
  <si>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</si>
  <si>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</si>
  <si>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</si>
  <si>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</si>
  <si>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</si>
  <si>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</si>
  <si>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</si>
  <si>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</si>
  <si>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</si>
  <si>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</si>
  <si>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</si>
  <si>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</si>
  <si>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</si>
  <si>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</si>
  <si>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</si>
  <si>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</si>
  <si>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</si>
  <si>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</si>
  <si>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</si>
  <si>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</si>
  <si>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</si>
  <si>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</si>
  <si>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</si>
  <si>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</si>
  <si>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</si>
  <si>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</si>
  <si>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</si>
  <si>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</si>
  <si>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</si>
  <si>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</si>
  <si>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</si>
  <si>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</si>
  <si>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</si>
  <si>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</si>
  <si>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</si>
  <si>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</si>
  <si>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</si>
  <si>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</si>
  <si>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</si>
  <si>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</si>
  <si>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</si>
  <si>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</si>
  <si>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</si>
  <si>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</si>
  <si>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</si>
  <si>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</si>
  <si>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</si>
  <si>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</si>
  <si>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</si>
  <si>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</si>
  <si>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</si>
  <si>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</si>
  <si>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</si>
  <si>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</si>
  <si>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</si>
  <si>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</si>
  <si>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</si>
  <si>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</si>
  <si>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</si>
  <si>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</si>
  <si>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</si>
  <si>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</si>
  <si>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</si>
  <si>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</si>
  <si>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</si>
  <si>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</si>
  <si>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</si>
  <si>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</si>
  <si>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</si>
  <si>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</si>
  <si>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</si>
  <si>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</si>
  <si>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</si>
  <si>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</si>
  <si>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</si>
  <si>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</si>
  <si>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</si>
  <si>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</si>
  <si>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</si>
  <si>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</si>
  <si>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</si>
  <si>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</si>
  <si>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</si>
  <si>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</si>
  <si>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</si>
  <si>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</si>
  <si>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</si>
  <si>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</si>
  <si>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</si>
  <si>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</si>
  <si>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</si>
  <si>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</si>
  <si>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</si>
  <si>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</si>
  <si>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</si>
  <si>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</si>
  <si>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</si>
  <si>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</si>
  <si>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</si>
  <si>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</si>
  <si>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</si>
  <si>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</si>
  <si>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</si>
  <si>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</si>
  <si>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</si>
  <si>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</si>
  <si>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</si>
  <si>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</si>
  <si>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</si>
  <si>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</si>
  <si>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</si>
  <si>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</si>
  <si>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</si>
  <si>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</si>
  <si>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</si>
  <si>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</si>
  <si>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</si>
  <si>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</si>
  <si>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</si>
  <si>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</si>
  <si>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</si>
  <si>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</si>
  <si>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</si>
  <si>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</si>
  <si>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</si>
  <si>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</si>
  <si>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</si>
  <si>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</si>
  <si>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</si>
  <si>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</si>
  <si>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</si>
  <si>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</si>
  <si>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</si>
  <si>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</si>
  <si>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</si>
  <si>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</si>
  <si>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</si>
  <si>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</si>
  <si>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</si>
  <si>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</si>
  <si>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</si>
  <si>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</si>
  <si>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</si>
  <si>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</si>
  <si>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</si>
  <si>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</si>
  <si>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</si>
  <si>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</si>
  <si>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</si>
  <si>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</si>
  <si>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</si>
  <si>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</si>
  <si>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</si>
  <si>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</si>
  <si>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</si>
  <si>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</si>
  <si>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</si>
  <si>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</si>
  <si>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</si>
  <si>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</si>
  <si>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</si>
  <si>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</si>
  <si>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</si>
  <si>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</si>
  <si>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</si>
  <si>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</si>
  <si>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</si>
  <si>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</si>
  <si>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</si>
  <si>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</si>
  <si>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</si>
  <si>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</si>
  <si>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</si>
  <si>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</si>
  <si>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</si>
  <si>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</si>
  <si>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</si>
  <si>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</si>
  <si>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</si>
  <si>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</si>
  <si>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</si>
  <si>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</si>
  <si>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</si>
  <si>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</si>
  <si>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</si>
  <si>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</si>
  <si>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</si>
  <si>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</si>
  <si>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</si>
  <si>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</si>
  <si>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</si>
  <si>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</si>
  <si>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</si>
  <si>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</si>
  <si>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</si>
  <si>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</si>
  <si>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</si>
  <si>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</si>
  <si>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</si>
  <si>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</si>
  <si>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</si>
  <si>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</si>
  <si>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</si>
  <si>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</si>
  <si>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</si>
  <si>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</si>
  <si>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</si>
  <si>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</si>
  <si>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</si>
  <si>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</si>
  <si>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</si>
  <si>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</si>
  <si>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</si>
  <si>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</si>
  <si>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</si>
  <si>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</si>
  <si>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</si>
  <si>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</si>
  <si>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</si>
  <si>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</si>
  <si>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</si>
  <si>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</si>
  <si>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</si>
  <si>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</si>
  <si>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</si>
  <si>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</si>
  <si>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</si>
  <si>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</si>
  <si>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</si>
  <si>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</si>
  <si>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</si>
  <si>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</si>
  <si>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</si>
  <si>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</si>
  <si>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</si>
  <si>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</si>
  <si>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</si>
  <si>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</si>
  <si>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</si>
  <si>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</si>
  <si>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</si>
  <si>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</si>
  <si>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</si>
  <si>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</si>
  <si>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</si>
  <si>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</si>
  <si>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</si>
  <si>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</si>
  <si>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</si>
  <si>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</si>
  <si>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</si>
  <si>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</si>
  <si>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</si>
  <si>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</si>
  <si>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</si>
  <si>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</si>
  <si>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</si>
  <si>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</si>
  <si>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</si>
  <si>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</si>
  <si>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</si>
  <si>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</si>
  <si>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</si>
  <si>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</si>
  <si>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</si>
  <si>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</si>
  <si>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</si>
  <si>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</si>
  <si>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</si>
  <si>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</si>
  <si>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</si>
  <si>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</si>
  <si>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</si>
  <si>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</si>
  <si>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</si>
  <si>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</si>
  <si>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</si>
  <si>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32003</t>
  </si>
  <si>
    <t>DIKSMUIDE</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</si>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</sst>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136225.42900256603</c:v>
                </c:pt>
                <c:pt idx="1">
                  <c:v>63281.191819123604</c:v>
                </c:pt>
                <c:pt idx="2">
                  <c:v>845.55600000000004</c:v>
                </c:pt>
                <c:pt idx="3">
                  <c:v>53472.368028114674</c:v>
                </c:pt>
                <c:pt idx="4">
                  <c:v>47583.173497048658</c:v>
                </c:pt>
                <c:pt idx="5">
                  <c:v>137201.50071274376</c:v>
                </c:pt>
                <c:pt idx="6">
                  <c:v>1964.9546914302146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136225.42900256603</c:v>
                </c:pt>
                <c:pt idx="1">
                  <c:v>63281.191819123604</c:v>
                </c:pt>
                <c:pt idx="2">
                  <c:v>845.55600000000004</c:v>
                </c:pt>
                <c:pt idx="3">
                  <c:v>53472.368028114674</c:v>
                </c:pt>
                <c:pt idx="4">
                  <c:v>47583.173497048658</c:v>
                </c:pt>
                <c:pt idx="5">
                  <c:v>137201.50071274376</c:v>
                </c:pt>
                <c:pt idx="6">
                  <c:v>1964.9546914302146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27705.4057151261</c:v>
                </c:pt>
                <c:pt idx="2">
                  <c:v>11161.305135632932</c:v>
                </c:pt>
                <c:pt idx="3">
                  <c:v>159.83940776875326</c:v>
                </c:pt>
                <c:pt idx="4">
                  <c:v>13492.285746168294</c:v>
                </c:pt>
                <c:pt idx="5">
                  <c:v>9830.5571423194961</c:v>
                </c:pt>
                <c:pt idx="6">
                  <c:v>34353.137901954535</c:v>
                </c:pt>
                <c:pt idx="7">
                  <c:v>494.83344538538182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27705.4057151261</c:v>
                </c:pt>
                <c:pt idx="2">
                  <c:v>11161.305135632932</c:v>
                </c:pt>
                <c:pt idx="3">
                  <c:v>159.83940776875326</c:v>
                </c:pt>
                <c:pt idx="4">
                  <c:v>13492.285746168294</c:v>
                </c:pt>
                <c:pt idx="5">
                  <c:v>9830.5571423194961</c:v>
                </c:pt>
                <c:pt idx="6">
                  <c:v>34353.137901954535</c:v>
                </c:pt>
                <c:pt idx="7">
                  <c:v>494.83344538538182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32003</v>
      </c>
      <c r="B6" s="384"/>
      <c r="C6" s="385"/>
    </row>
    <row r="7" spans="1:7" s="382" customFormat="1" ht="15.75" customHeight="1">
      <c r="A7" s="386" t="str">
        <f>txtMunicipality</f>
        <v>DIKSMUIDE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29000.139347</v>
      </c>
      <c r="D10" s="973">
        <f ca="1">tertiair!C16</f>
        <v>0</v>
      </c>
      <c r="E10" s="973">
        <f ca="1">tertiair!D16</f>
        <v>21016.459303333999</v>
      </c>
      <c r="F10" s="973">
        <f>tertiair!E16</f>
        <v>393.61089592548694</v>
      </c>
      <c r="G10" s="973">
        <f ca="1">tertiair!F16</f>
        <v>5634.3277504097377</v>
      </c>
      <c r="H10" s="973">
        <f>tertiair!G16</f>
        <v>0</v>
      </c>
      <c r="I10" s="973">
        <f>tertiair!H16</f>
        <v>0</v>
      </c>
      <c r="J10" s="973">
        <f>tertiair!I16</f>
        <v>0</v>
      </c>
      <c r="K10" s="973">
        <f>tertiair!J16</f>
        <v>0.20486967502495257</v>
      </c>
      <c r="L10" s="973">
        <f>tertiair!K16</f>
        <v>0</v>
      </c>
      <c r="M10" s="973">
        <f ca="1">tertiair!L16</f>
        <v>0</v>
      </c>
      <c r="N10" s="973">
        <f>tertiair!M16</f>
        <v>0</v>
      </c>
      <c r="O10" s="973">
        <f ca="1">tertiair!N16</f>
        <v>8059.812319446024</v>
      </c>
      <c r="P10" s="973">
        <f>tertiair!O16</f>
        <v>3.1266666666666669</v>
      </c>
      <c r="Q10" s="974">
        <f>tertiair!P16</f>
        <v>19.066666666666666</v>
      </c>
      <c r="R10" s="668">
        <f ca="1">SUM(C10:Q10)</f>
        <v>64126.7478191236</v>
      </c>
      <c r="S10" s="67"/>
    </row>
    <row r="11" spans="1:19" s="441" customFormat="1">
      <c r="A11" s="777" t="s">
        <v>219</v>
      </c>
      <c r="B11" s="782"/>
      <c r="C11" s="973">
        <f>huishoudens!B8</f>
        <v>26954.26789923769</v>
      </c>
      <c r="D11" s="973">
        <f>huishoudens!C8</f>
        <v>0</v>
      </c>
      <c r="E11" s="973">
        <f>huishoudens!D8</f>
        <v>53364.600752099999</v>
      </c>
      <c r="F11" s="973">
        <f>huishoudens!E8</f>
        <v>1681.7203097408831</v>
      </c>
      <c r="G11" s="973">
        <f>huishoudens!F8</f>
        <v>42607.254305545612</v>
      </c>
      <c r="H11" s="973">
        <f>huishoudens!G8</f>
        <v>0</v>
      </c>
      <c r="I11" s="973">
        <f>huishoudens!H8</f>
        <v>0</v>
      </c>
      <c r="J11" s="973">
        <f>huishoudens!I8</f>
        <v>0</v>
      </c>
      <c r="K11" s="973">
        <f>huishoudens!J8</f>
        <v>205.02132755918643</v>
      </c>
      <c r="L11" s="973">
        <f>huishoudens!K8</f>
        <v>0</v>
      </c>
      <c r="M11" s="973">
        <f>huishoudens!L8</f>
        <v>0</v>
      </c>
      <c r="N11" s="973">
        <f>huishoudens!M8</f>
        <v>0</v>
      </c>
      <c r="O11" s="973">
        <f>huishoudens!N8</f>
        <v>10410.677741716003</v>
      </c>
      <c r="P11" s="973">
        <f>huishoudens!O8</f>
        <v>334.55333333333334</v>
      </c>
      <c r="Q11" s="974">
        <f>huishoudens!P8</f>
        <v>667.33333333333337</v>
      </c>
      <c r="R11" s="668">
        <f>SUM(C11:Q11)</f>
        <v>136225.42900256603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22886.706539999999</v>
      </c>
      <c r="D13" s="973">
        <f>industrie!C18</f>
        <v>0</v>
      </c>
      <c r="E13" s="973">
        <f>industrie!D18</f>
        <v>7913.2774094440001</v>
      </c>
      <c r="F13" s="973">
        <f>industrie!E18</f>
        <v>3901.5604716916969</v>
      </c>
      <c r="G13" s="973">
        <f>industrie!F18</f>
        <v>11309.410026341366</v>
      </c>
      <c r="H13" s="973">
        <f>industrie!G18</f>
        <v>0</v>
      </c>
      <c r="I13" s="973">
        <f>industrie!H18</f>
        <v>0</v>
      </c>
      <c r="J13" s="973">
        <f>industrie!I18</f>
        <v>0</v>
      </c>
      <c r="K13" s="973">
        <f>industrie!J18</f>
        <v>1.2066596871772828</v>
      </c>
      <c r="L13" s="973">
        <f>industrie!K18</f>
        <v>0</v>
      </c>
      <c r="M13" s="973">
        <f>industrie!L18</f>
        <v>0</v>
      </c>
      <c r="N13" s="973">
        <f>industrie!M18</f>
        <v>0</v>
      </c>
      <c r="O13" s="973">
        <f>industrie!N18</f>
        <v>1571.0123898844247</v>
      </c>
      <c r="P13" s="973">
        <f>industrie!O18</f>
        <v>0</v>
      </c>
      <c r="Q13" s="974">
        <f>industrie!P18</f>
        <v>0</v>
      </c>
      <c r="R13" s="668">
        <f>SUM(C13:Q13)</f>
        <v>47583.173497048658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78841.113786237693</v>
      </c>
      <c r="D16" s="700">
        <f t="shared" ref="D16:R16" ca="1" si="0">SUM(D9:D15)</f>
        <v>0</v>
      </c>
      <c r="E16" s="700">
        <f t="shared" ca="1" si="0"/>
        <v>82294.337464878001</v>
      </c>
      <c r="F16" s="700">
        <f t="shared" si="0"/>
        <v>5976.8916773580668</v>
      </c>
      <c r="G16" s="700">
        <f t="shared" ca="1" si="0"/>
        <v>59550.992082296711</v>
      </c>
      <c r="H16" s="700">
        <f t="shared" si="0"/>
        <v>0</v>
      </c>
      <c r="I16" s="700">
        <f t="shared" si="0"/>
        <v>0</v>
      </c>
      <c r="J16" s="700">
        <f t="shared" si="0"/>
        <v>0</v>
      </c>
      <c r="K16" s="700">
        <f t="shared" si="0"/>
        <v>206.43285692138866</v>
      </c>
      <c r="L16" s="700">
        <f t="shared" si="0"/>
        <v>0</v>
      </c>
      <c r="M16" s="700">
        <f t="shared" ca="1" si="0"/>
        <v>0</v>
      </c>
      <c r="N16" s="700">
        <f t="shared" si="0"/>
        <v>0</v>
      </c>
      <c r="O16" s="700">
        <f t="shared" ca="1" si="0"/>
        <v>20041.50245104645</v>
      </c>
      <c r="P16" s="700">
        <f t="shared" si="0"/>
        <v>337.68</v>
      </c>
      <c r="Q16" s="700">
        <f t="shared" si="0"/>
        <v>686.40000000000009</v>
      </c>
      <c r="R16" s="700">
        <f t="shared" ca="1" si="0"/>
        <v>247935.35031873832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19.581052214508489</v>
      </c>
      <c r="D19" s="973">
        <f>transport!C54</f>
        <v>0</v>
      </c>
      <c r="E19" s="973">
        <f>transport!D54</f>
        <v>0</v>
      </c>
      <c r="F19" s="973">
        <f>transport!E54</f>
        <v>0</v>
      </c>
      <c r="G19" s="973">
        <f>transport!F54</f>
        <v>0</v>
      </c>
      <c r="H19" s="973">
        <f>transport!G54</f>
        <v>1839.4454960620722</v>
      </c>
      <c r="I19" s="973">
        <f>transport!H54</f>
        <v>0</v>
      </c>
      <c r="J19" s="973">
        <f>transport!I54</f>
        <v>0</v>
      </c>
      <c r="K19" s="973">
        <f>transport!J54</f>
        <v>0</v>
      </c>
      <c r="L19" s="973">
        <f>transport!K54</f>
        <v>0</v>
      </c>
      <c r="M19" s="973">
        <f>transport!L54</f>
        <v>0</v>
      </c>
      <c r="N19" s="973">
        <f>transport!M54</f>
        <v>105.92814315363391</v>
      </c>
      <c r="O19" s="973">
        <f>transport!N54</f>
        <v>0</v>
      </c>
      <c r="P19" s="973">
        <f>transport!O54</f>
        <v>0</v>
      </c>
      <c r="Q19" s="974">
        <f>transport!P54</f>
        <v>0</v>
      </c>
      <c r="R19" s="668">
        <f>SUM(C19:Q19)</f>
        <v>1964.9546914302146</v>
      </c>
      <c r="S19" s="67"/>
    </row>
    <row r="20" spans="1:19" s="441" customFormat="1">
      <c r="A20" s="777" t="s">
        <v>301</v>
      </c>
      <c r="B20" s="782"/>
      <c r="C20" s="973">
        <f>transport!B14</f>
        <v>79.818624419798738</v>
      </c>
      <c r="D20" s="973">
        <f>transport!C14</f>
        <v>0</v>
      </c>
      <c r="E20" s="973">
        <f>transport!D14</f>
        <v>139.24973188357444</v>
      </c>
      <c r="F20" s="973">
        <f>transport!E14</f>
        <v>242.65598415551256</v>
      </c>
      <c r="G20" s="973">
        <f>transport!F14</f>
        <v>0</v>
      </c>
      <c r="H20" s="973">
        <f>transport!G14</f>
        <v>107411.50174593841</v>
      </c>
      <c r="I20" s="973">
        <f>transport!H14</f>
        <v>22393.44214229178</v>
      </c>
      <c r="J20" s="973">
        <f>transport!I14</f>
        <v>0</v>
      </c>
      <c r="K20" s="973">
        <f>transport!J14</f>
        <v>0</v>
      </c>
      <c r="L20" s="973">
        <f>transport!K14</f>
        <v>0</v>
      </c>
      <c r="M20" s="973">
        <f>transport!L14</f>
        <v>0</v>
      </c>
      <c r="N20" s="973">
        <f>transport!M14</f>
        <v>6934.8324840546729</v>
      </c>
      <c r="O20" s="973">
        <f>transport!N14</f>
        <v>0</v>
      </c>
      <c r="P20" s="973">
        <f>transport!O14</f>
        <v>0</v>
      </c>
      <c r="Q20" s="974">
        <f>transport!P14</f>
        <v>0</v>
      </c>
      <c r="R20" s="668">
        <f>SUM(C20:Q20)</f>
        <v>137201.50071274376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99.399676634307227</v>
      </c>
      <c r="D22" s="780">
        <f t="shared" ref="D22:R22" si="1">SUM(D18:D21)</f>
        <v>0</v>
      </c>
      <c r="E22" s="780">
        <f t="shared" si="1"/>
        <v>139.24973188357444</v>
      </c>
      <c r="F22" s="780">
        <f t="shared" si="1"/>
        <v>242.65598415551256</v>
      </c>
      <c r="G22" s="780">
        <f t="shared" si="1"/>
        <v>0</v>
      </c>
      <c r="H22" s="780">
        <f t="shared" si="1"/>
        <v>109250.94724200049</v>
      </c>
      <c r="I22" s="780">
        <f t="shared" si="1"/>
        <v>22393.44214229178</v>
      </c>
      <c r="J22" s="780">
        <f t="shared" si="1"/>
        <v>0</v>
      </c>
      <c r="K22" s="780">
        <f t="shared" si="1"/>
        <v>0</v>
      </c>
      <c r="L22" s="780">
        <f t="shared" si="1"/>
        <v>0</v>
      </c>
      <c r="M22" s="780">
        <f t="shared" si="1"/>
        <v>0</v>
      </c>
      <c r="N22" s="780">
        <f t="shared" si="1"/>
        <v>7040.7606272083067</v>
      </c>
      <c r="O22" s="780">
        <f t="shared" si="1"/>
        <v>0</v>
      </c>
      <c r="P22" s="780">
        <f t="shared" si="1"/>
        <v>0</v>
      </c>
      <c r="Q22" s="780">
        <f t="shared" si="1"/>
        <v>0</v>
      </c>
      <c r="R22" s="780">
        <f t="shared" si="1"/>
        <v>139166.45540417396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9783.4557074118766</v>
      </c>
      <c r="D24" s="973">
        <f>+landbouw!C8</f>
        <v>268.07142857142856</v>
      </c>
      <c r="E24" s="973">
        <f>+landbouw!D8</f>
        <v>958.51481000000001</v>
      </c>
      <c r="F24" s="973">
        <f>+landbouw!E8</f>
        <v>287.5656453636048</v>
      </c>
      <c r="G24" s="973">
        <f>+landbouw!F8</f>
        <v>40757.347806880112</v>
      </c>
      <c r="H24" s="973">
        <f>+landbouw!G8</f>
        <v>0</v>
      </c>
      <c r="I24" s="973">
        <f>+landbouw!H8</f>
        <v>0</v>
      </c>
      <c r="J24" s="973">
        <f>+landbouw!I8</f>
        <v>0</v>
      </c>
      <c r="K24" s="973">
        <f>+landbouw!J8</f>
        <v>1417.4126298876488</v>
      </c>
      <c r="L24" s="973">
        <f>+landbouw!K8</f>
        <v>0</v>
      </c>
      <c r="M24" s="973">
        <f>+landbouw!L8</f>
        <v>0</v>
      </c>
      <c r="N24" s="973">
        <f>+landbouw!M8</f>
        <v>0</v>
      </c>
      <c r="O24" s="973">
        <f>+landbouw!N8</f>
        <v>0</v>
      </c>
      <c r="P24" s="973">
        <f>+landbouw!O8</f>
        <v>0</v>
      </c>
      <c r="Q24" s="974">
        <f>+landbouw!P8</f>
        <v>0</v>
      </c>
      <c r="R24" s="668">
        <f>SUM(C24:Q24)</f>
        <v>53472.368028114674</v>
      </c>
      <c r="S24" s="67"/>
    </row>
    <row r="25" spans="1:19" s="441" customFormat="1" ht="15" thickBot="1">
      <c r="A25" s="799" t="s">
        <v>808</v>
      </c>
      <c r="B25" s="976"/>
      <c r="C25" s="977">
        <f>IF(Onbekend_ele_kWh="---",0,Onbekend_ele_kWh)/1000+IF(REST_rest_ele_kWh="---",0,REST_rest_ele_kWh)/1000</f>
        <v>787.72655000000009</v>
      </c>
      <c r="D25" s="977"/>
      <c r="E25" s="977">
        <f>IF(onbekend_gas_kWh="---",0,onbekend_gas_kWh)/1000+IF(REST_rest_gas_kWh="---",0,REST_rest_gas_kWh)/1000</f>
        <v>4002.1060950000001</v>
      </c>
      <c r="F25" s="977"/>
      <c r="G25" s="977"/>
      <c r="H25" s="977"/>
      <c r="I25" s="977"/>
      <c r="J25" s="977"/>
      <c r="K25" s="977"/>
      <c r="L25" s="977"/>
      <c r="M25" s="977"/>
      <c r="N25" s="977"/>
      <c r="O25" s="977"/>
      <c r="P25" s="977"/>
      <c r="Q25" s="978"/>
      <c r="R25" s="668">
        <f>SUM(C25:Q25)</f>
        <v>4789.8326450000004</v>
      </c>
      <c r="S25" s="67"/>
    </row>
    <row r="26" spans="1:19" s="441" customFormat="1" ht="15.75" thickBot="1">
      <c r="A26" s="673" t="s">
        <v>809</v>
      </c>
      <c r="B26" s="785"/>
      <c r="C26" s="780">
        <f>SUM(C24:C25)</f>
        <v>10571.182257411876</v>
      </c>
      <c r="D26" s="780">
        <f t="shared" ref="D26:R26" si="2">SUM(D24:D25)</f>
        <v>268.07142857142856</v>
      </c>
      <c r="E26" s="780">
        <f t="shared" si="2"/>
        <v>4960.6209049999998</v>
      </c>
      <c r="F26" s="780">
        <f t="shared" si="2"/>
        <v>287.5656453636048</v>
      </c>
      <c r="G26" s="780">
        <f t="shared" si="2"/>
        <v>40757.347806880112</v>
      </c>
      <c r="H26" s="780">
        <f t="shared" si="2"/>
        <v>0</v>
      </c>
      <c r="I26" s="780">
        <f t="shared" si="2"/>
        <v>0</v>
      </c>
      <c r="J26" s="780">
        <f t="shared" si="2"/>
        <v>0</v>
      </c>
      <c r="K26" s="780">
        <f t="shared" si="2"/>
        <v>1417.4126298876488</v>
      </c>
      <c r="L26" s="780">
        <f t="shared" si="2"/>
        <v>0</v>
      </c>
      <c r="M26" s="780">
        <f t="shared" si="2"/>
        <v>0</v>
      </c>
      <c r="N26" s="780">
        <f t="shared" si="2"/>
        <v>0</v>
      </c>
      <c r="O26" s="780">
        <f t="shared" si="2"/>
        <v>0</v>
      </c>
      <c r="P26" s="780">
        <f t="shared" si="2"/>
        <v>0</v>
      </c>
      <c r="Q26" s="780">
        <f t="shared" si="2"/>
        <v>0</v>
      </c>
      <c r="R26" s="780">
        <f t="shared" si="2"/>
        <v>58262.200673114676</v>
      </c>
      <c r="S26" s="67"/>
    </row>
    <row r="27" spans="1:19" s="441" customFormat="1" ht="17.25" thickTop="1" thickBot="1">
      <c r="A27" s="674" t="s">
        <v>115</v>
      </c>
      <c r="B27" s="773"/>
      <c r="C27" s="675">
        <f ca="1">C22+C16+C26</f>
        <v>89511.695720283868</v>
      </c>
      <c r="D27" s="675">
        <f t="shared" ref="D27:R27" ca="1" si="3">D22+D16+D26</f>
        <v>268.07142857142856</v>
      </c>
      <c r="E27" s="675">
        <f t="shared" ca="1" si="3"/>
        <v>87394.208101761586</v>
      </c>
      <c r="F27" s="675">
        <f t="shared" si="3"/>
        <v>6507.1133068771842</v>
      </c>
      <c r="G27" s="675">
        <f t="shared" ca="1" si="3"/>
        <v>100308.33988917683</v>
      </c>
      <c r="H27" s="675">
        <f t="shared" si="3"/>
        <v>109250.94724200049</v>
      </c>
      <c r="I27" s="675">
        <f t="shared" si="3"/>
        <v>22393.44214229178</v>
      </c>
      <c r="J27" s="675">
        <f t="shared" si="3"/>
        <v>0</v>
      </c>
      <c r="K27" s="675">
        <f t="shared" si="3"/>
        <v>1623.8454868090375</v>
      </c>
      <c r="L27" s="675">
        <f t="shared" si="3"/>
        <v>0</v>
      </c>
      <c r="M27" s="675">
        <f t="shared" ca="1" si="3"/>
        <v>0</v>
      </c>
      <c r="N27" s="675">
        <f t="shared" si="3"/>
        <v>7040.7606272083067</v>
      </c>
      <c r="O27" s="675">
        <f t="shared" ca="1" si="3"/>
        <v>20041.50245104645</v>
      </c>
      <c r="P27" s="675">
        <f t="shared" si="3"/>
        <v>337.68</v>
      </c>
      <c r="Q27" s="675">
        <f t="shared" si="3"/>
        <v>686.40000000000009</v>
      </c>
      <c r="R27" s="675">
        <f t="shared" ca="1" si="3"/>
        <v>445364.00639602699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5482.0320575287724</v>
      </c>
      <c r="D40" s="973">
        <f ca="1">tertiair!C20</f>
        <v>0</v>
      </c>
      <c r="E40" s="973">
        <f ca="1">tertiair!D20</f>
        <v>4245.3247792734683</v>
      </c>
      <c r="F40" s="973">
        <f>tertiair!E20</f>
        <v>89.349673375085544</v>
      </c>
      <c r="G40" s="973">
        <f ca="1">tertiair!F20</f>
        <v>1504.3655093594</v>
      </c>
      <c r="H40" s="973">
        <f>tertiair!G20</f>
        <v>0</v>
      </c>
      <c r="I40" s="973">
        <f>tertiair!H20</f>
        <v>0</v>
      </c>
      <c r="J40" s="973">
        <f>tertiair!I20</f>
        <v>0</v>
      </c>
      <c r="K40" s="973">
        <f>tertiair!J20</f>
        <v>7.2523864958833201E-2</v>
      </c>
      <c r="L40" s="973">
        <f>tertiair!K20</f>
        <v>0</v>
      </c>
      <c r="M40" s="973">
        <f ca="1">tertiair!L20</f>
        <v>0</v>
      </c>
      <c r="N40" s="973">
        <f>tertiair!M20</f>
        <v>0</v>
      </c>
      <c r="O40" s="973">
        <f ca="1">tertiair!N20</f>
        <v>0</v>
      </c>
      <c r="P40" s="973">
        <f>tertiair!O20</f>
        <v>0</v>
      </c>
      <c r="Q40" s="742">
        <f>tertiair!P20</f>
        <v>0</v>
      </c>
      <c r="R40" s="818">
        <f t="shared" ca="1" si="4"/>
        <v>11321.144543401686</v>
      </c>
    </row>
    <row r="41" spans="1:18">
      <c r="A41" s="790" t="s">
        <v>219</v>
      </c>
      <c r="B41" s="797"/>
      <c r="C41" s="973">
        <f ca="1">huishoudens!B12</f>
        <v>5095.2914033540883</v>
      </c>
      <c r="D41" s="973">
        <f ca="1">huishoudens!C12</f>
        <v>0</v>
      </c>
      <c r="E41" s="973">
        <f>huishoudens!D12</f>
        <v>10779.649351924201</v>
      </c>
      <c r="F41" s="973">
        <f>huishoudens!E12</f>
        <v>381.75051031118045</v>
      </c>
      <c r="G41" s="973">
        <f>huishoudens!F12</f>
        <v>11376.136899580679</v>
      </c>
      <c r="H41" s="973">
        <f>huishoudens!G12</f>
        <v>0</v>
      </c>
      <c r="I41" s="973">
        <f>huishoudens!H12</f>
        <v>0</v>
      </c>
      <c r="J41" s="973">
        <f>huishoudens!I12</f>
        <v>0</v>
      </c>
      <c r="K41" s="973">
        <f>huishoudens!J12</f>
        <v>72.577549955951994</v>
      </c>
      <c r="L41" s="973">
        <f>huishoudens!K12</f>
        <v>0</v>
      </c>
      <c r="M41" s="973">
        <f>huishoudens!L12</f>
        <v>0</v>
      </c>
      <c r="N41" s="973">
        <f>huishoudens!M12</f>
        <v>0</v>
      </c>
      <c r="O41" s="973">
        <f>huishoudens!N12</f>
        <v>0</v>
      </c>
      <c r="P41" s="973">
        <f>huishoudens!O12</f>
        <v>0</v>
      </c>
      <c r="Q41" s="742">
        <f>huishoudens!P12</f>
        <v>0</v>
      </c>
      <c r="R41" s="818">
        <f t="shared" ca="1" si="4"/>
        <v>27705.4057151261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4326.3812439753865</v>
      </c>
      <c r="D43" s="973">
        <f ca="1">industrie!C22</f>
        <v>0</v>
      </c>
      <c r="E43" s="973">
        <f>industrie!D22</f>
        <v>1598.4820367076882</v>
      </c>
      <c r="F43" s="973">
        <f>industrie!E22</f>
        <v>885.65422707401524</v>
      </c>
      <c r="G43" s="973">
        <f>industrie!F22</f>
        <v>3019.6124770331448</v>
      </c>
      <c r="H43" s="973">
        <f>industrie!G22</f>
        <v>0</v>
      </c>
      <c r="I43" s="973">
        <f>industrie!H22</f>
        <v>0</v>
      </c>
      <c r="J43" s="973">
        <f>industrie!I22</f>
        <v>0</v>
      </c>
      <c r="K43" s="973">
        <f>industrie!J22</f>
        <v>0.42715752926075806</v>
      </c>
      <c r="L43" s="973">
        <f>industrie!K22</f>
        <v>0</v>
      </c>
      <c r="M43" s="973">
        <f>industrie!L22</f>
        <v>0</v>
      </c>
      <c r="N43" s="973">
        <f>industrie!M22</f>
        <v>0</v>
      </c>
      <c r="O43" s="973">
        <f>industrie!N22</f>
        <v>0</v>
      </c>
      <c r="P43" s="973">
        <f>industrie!O22</f>
        <v>0</v>
      </c>
      <c r="Q43" s="742">
        <f>industrie!P22</f>
        <v>0</v>
      </c>
      <c r="R43" s="817">
        <f t="shared" ca="1" si="4"/>
        <v>9830.5571423194961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14903.704704858246</v>
      </c>
      <c r="D46" s="700">
        <f t="shared" ref="D46:Q46" ca="1" si="5">SUM(D39:D45)</f>
        <v>0</v>
      </c>
      <c r="E46" s="700">
        <f t="shared" ca="1" si="5"/>
        <v>16623.456167905359</v>
      </c>
      <c r="F46" s="700">
        <f t="shared" si="5"/>
        <v>1356.7544107602812</v>
      </c>
      <c r="G46" s="700">
        <f t="shared" ca="1" si="5"/>
        <v>15900.114885973224</v>
      </c>
      <c r="H46" s="700">
        <f t="shared" si="5"/>
        <v>0</v>
      </c>
      <c r="I46" s="700">
        <f t="shared" si="5"/>
        <v>0</v>
      </c>
      <c r="J46" s="700">
        <f t="shared" si="5"/>
        <v>0</v>
      </c>
      <c r="K46" s="700">
        <f t="shared" si="5"/>
        <v>73.077231350171587</v>
      </c>
      <c r="L46" s="700">
        <f t="shared" si="5"/>
        <v>0</v>
      </c>
      <c r="M46" s="700">
        <f t="shared" ca="1" si="5"/>
        <v>0</v>
      </c>
      <c r="N46" s="700">
        <f t="shared" si="5"/>
        <v>0</v>
      </c>
      <c r="O46" s="700">
        <f t="shared" ca="1" si="5"/>
        <v>0</v>
      </c>
      <c r="P46" s="700">
        <f t="shared" si="5"/>
        <v>0</v>
      </c>
      <c r="Q46" s="700">
        <f t="shared" si="5"/>
        <v>0</v>
      </c>
      <c r="R46" s="700">
        <f ca="1">SUM(R39:R45)</f>
        <v>48857.107400847279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3.7014979368085275</v>
      </c>
      <c r="D49" s="973">
        <f ca="1">transport!C58</f>
        <v>0</v>
      </c>
      <c r="E49" s="973">
        <f>transport!D58</f>
        <v>0</v>
      </c>
      <c r="F49" s="973">
        <f>transport!E58</f>
        <v>0</v>
      </c>
      <c r="G49" s="973">
        <f>transport!F58</f>
        <v>0</v>
      </c>
      <c r="H49" s="973">
        <f>transport!G58</f>
        <v>491.13194744857327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494.83344538538182</v>
      </c>
    </row>
    <row r="50" spans="1:18">
      <c r="A50" s="793" t="s">
        <v>301</v>
      </c>
      <c r="B50" s="803"/>
      <c r="C50" s="671">
        <f ca="1">transport!B18</f>
        <v>15.088488114539045</v>
      </c>
      <c r="D50" s="671">
        <f>transport!C18</f>
        <v>0</v>
      </c>
      <c r="E50" s="671">
        <f>transport!D18</f>
        <v>28.128445840482041</v>
      </c>
      <c r="F50" s="671">
        <f>transport!E18</f>
        <v>55.082908403301353</v>
      </c>
      <c r="G50" s="671">
        <f>transport!F18</f>
        <v>0</v>
      </c>
      <c r="H50" s="671">
        <f>transport!G18</f>
        <v>28678.870966165556</v>
      </c>
      <c r="I50" s="671">
        <f>transport!H18</f>
        <v>5575.9670934306532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34353.137901954535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18.789986051347572</v>
      </c>
      <c r="D52" s="700">
        <f t="shared" ref="D52:Q52" ca="1" si="6">SUM(D48:D51)</f>
        <v>0</v>
      </c>
      <c r="E52" s="700">
        <f t="shared" si="6"/>
        <v>28.128445840482041</v>
      </c>
      <c r="F52" s="700">
        <f t="shared" si="6"/>
        <v>55.082908403301353</v>
      </c>
      <c r="G52" s="700">
        <f t="shared" si="6"/>
        <v>0</v>
      </c>
      <c r="H52" s="700">
        <f t="shared" si="6"/>
        <v>29170.002913614127</v>
      </c>
      <c r="I52" s="700">
        <f t="shared" si="6"/>
        <v>5575.9670934306532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34847.971347339917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1849.4124176335372</v>
      </c>
      <c r="D54" s="671">
        <f ca="1">+landbouw!C12</f>
        <v>0</v>
      </c>
      <c r="E54" s="671">
        <f>+landbouw!D12</f>
        <v>193.61999162000001</v>
      </c>
      <c r="F54" s="671">
        <f>+landbouw!E12</f>
        <v>65.277401497538293</v>
      </c>
      <c r="G54" s="671">
        <f>+landbouw!F12</f>
        <v>10882.211864436991</v>
      </c>
      <c r="H54" s="671">
        <f>+landbouw!G12</f>
        <v>0</v>
      </c>
      <c r="I54" s="671">
        <f>+landbouw!H12</f>
        <v>0</v>
      </c>
      <c r="J54" s="671">
        <f>+landbouw!I12</f>
        <v>0</v>
      </c>
      <c r="K54" s="671">
        <f>+landbouw!J12</f>
        <v>501.76407098022764</v>
      </c>
      <c r="L54" s="671">
        <f>+landbouw!K12</f>
        <v>0</v>
      </c>
      <c r="M54" s="671">
        <f>+landbouw!L12</f>
        <v>0</v>
      </c>
      <c r="N54" s="671">
        <f>+landbouw!M12</f>
        <v>0</v>
      </c>
      <c r="O54" s="671">
        <f>+landbouw!N12</f>
        <v>0</v>
      </c>
      <c r="P54" s="671">
        <f>+landbouw!O12</f>
        <v>0</v>
      </c>
      <c r="Q54" s="672">
        <f>+landbouw!P12</f>
        <v>0</v>
      </c>
      <c r="R54" s="699">
        <f ca="1">SUM(C54:Q54)</f>
        <v>13492.285746168294</v>
      </c>
    </row>
    <row r="55" spans="1:18" ht="15" thickBot="1">
      <c r="A55" s="793" t="s">
        <v>808</v>
      </c>
      <c r="B55" s="803"/>
      <c r="C55" s="671">
        <f ca="1">C25*'EF ele_warmte'!B12</f>
        <v>148.90763620117792</v>
      </c>
      <c r="D55" s="671"/>
      <c r="E55" s="671">
        <f>E25*EF_CO2_aardgas</f>
        <v>808.42543119000004</v>
      </c>
      <c r="F55" s="671"/>
      <c r="G55" s="671"/>
      <c r="H55" s="671"/>
      <c r="I55" s="671"/>
      <c r="J55" s="671"/>
      <c r="K55" s="671"/>
      <c r="L55" s="671"/>
      <c r="M55" s="671"/>
      <c r="N55" s="671"/>
      <c r="O55" s="671"/>
      <c r="P55" s="671"/>
      <c r="Q55" s="672"/>
      <c r="R55" s="699">
        <f ca="1">SUM(C55:Q55)</f>
        <v>957.33306739117802</v>
      </c>
    </row>
    <row r="56" spans="1:18" ht="15.75" thickBot="1">
      <c r="A56" s="791" t="s">
        <v>809</v>
      </c>
      <c r="B56" s="804"/>
      <c r="C56" s="700">
        <f ca="1">SUM(C54:C55)</f>
        <v>1998.3200538347151</v>
      </c>
      <c r="D56" s="700">
        <f t="shared" ref="D56:Q56" ca="1" si="7">SUM(D54:D55)</f>
        <v>0</v>
      </c>
      <c r="E56" s="700">
        <f t="shared" si="7"/>
        <v>1002.04542281</v>
      </c>
      <c r="F56" s="700">
        <f t="shared" si="7"/>
        <v>65.277401497538293</v>
      </c>
      <c r="G56" s="700">
        <f t="shared" si="7"/>
        <v>10882.211864436991</v>
      </c>
      <c r="H56" s="700">
        <f t="shared" si="7"/>
        <v>0</v>
      </c>
      <c r="I56" s="700">
        <f t="shared" si="7"/>
        <v>0</v>
      </c>
      <c r="J56" s="700">
        <f t="shared" si="7"/>
        <v>0</v>
      </c>
      <c r="K56" s="700">
        <f t="shared" si="7"/>
        <v>501.76407098022764</v>
      </c>
      <c r="L56" s="700">
        <f t="shared" si="7"/>
        <v>0</v>
      </c>
      <c r="M56" s="700">
        <f t="shared" si="7"/>
        <v>0</v>
      </c>
      <c r="N56" s="700">
        <f t="shared" si="7"/>
        <v>0</v>
      </c>
      <c r="O56" s="700">
        <f t="shared" si="7"/>
        <v>0</v>
      </c>
      <c r="P56" s="700">
        <f t="shared" si="7"/>
        <v>0</v>
      </c>
      <c r="Q56" s="701">
        <f t="shared" si="7"/>
        <v>0</v>
      </c>
      <c r="R56" s="702">
        <f ca="1">SUM(R54:R55)</f>
        <v>14449.618813559473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16920.814744744308</v>
      </c>
      <c r="D61" s="708">
        <f t="shared" ref="D61:Q61" ca="1" si="8">D46+D52+D56</f>
        <v>0</v>
      </c>
      <c r="E61" s="708">
        <f t="shared" ca="1" si="8"/>
        <v>17653.630036555838</v>
      </c>
      <c r="F61" s="708">
        <f t="shared" si="8"/>
        <v>1477.1147206611208</v>
      </c>
      <c r="G61" s="708">
        <f t="shared" ca="1" si="8"/>
        <v>26782.326750410215</v>
      </c>
      <c r="H61" s="708">
        <f t="shared" si="8"/>
        <v>29170.002913614127</v>
      </c>
      <c r="I61" s="708">
        <f t="shared" si="8"/>
        <v>5575.9670934306532</v>
      </c>
      <c r="J61" s="708">
        <f t="shared" si="8"/>
        <v>0</v>
      </c>
      <c r="K61" s="708">
        <f t="shared" si="8"/>
        <v>574.84130233039923</v>
      </c>
      <c r="L61" s="708">
        <f t="shared" si="8"/>
        <v>0</v>
      </c>
      <c r="M61" s="708">
        <f t="shared" ca="1" si="8"/>
        <v>0</v>
      </c>
      <c r="N61" s="708">
        <f t="shared" si="8"/>
        <v>0</v>
      </c>
      <c r="O61" s="708">
        <f t="shared" ca="1" si="8"/>
        <v>0</v>
      </c>
      <c r="P61" s="708">
        <f t="shared" si="8"/>
        <v>0</v>
      </c>
      <c r="Q61" s="708">
        <f t="shared" si="8"/>
        <v>0</v>
      </c>
      <c r="R61" s="708">
        <f ca="1">R46+R52+R56</f>
        <v>98154.697561746667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0.18903467986597369</v>
      </c>
      <c r="D63" s="749">
        <f t="shared" ca="1" si="9"/>
        <v>0</v>
      </c>
      <c r="E63" s="984">
        <f t="shared" ca="1" si="9"/>
        <v>0.20199999999999999</v>
      </c>
      <c r="F63" s="749">
        <f t="shared" si="9"/>
        <v>0.22700000000000001</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2755.9170004074117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8302.3561192234774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187.64999999999998</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220.76470588235293</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1701</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4860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12946.923119630888</v>
      </c>
      <c r="C78" s="723">
        <f>SUM(C72:C77)</f>
        <v>0</v>
      </c>
      <c r="D78" s="724">
        <f t="shared" ref="D78:H78" si="10">SUM(D76:D77)</f>
        <v>0</v>
      </c>
      <c r="E78" s="724">
        <f t="shared" si="10"/>
        <v>0</v>
      </c>
      <c r="F78" s="724">
        <f t="shared" si="10"/>
        <v>0</v>
      </c>
      <c r="G78" s="724">
        <f t="shared" si="10"/>
        <v>0</v>
      </c>
      <c r="H78" s="724">
        <f t="shared" si="10"/>
        <v>0</v>
      </c>
      <c r="I78" s="724">
        <f>SUM(I76:I77)</f>
        <v>0</v>
      </c>
      <c r="J78" s="724">
        <f>SUM(J76:J77)</f>
        <v>5080.7647058823532</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268.07142857142856</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315.37815126050418</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268.07142857142856</v>
      </c>
      <c r="C90" s="723">
        <f>SUM(C87:C89)</f>
        <v>0</v>
      </c>
      <c r="D90" s="723">
        <f t="shared" ref="D90:H90" si="12">SUM(D87:D89)</f>
        <v>0</v>
      </c>
      <c r="E90" s="723">
        <f t="shared" si="12"/>
        <v>0</v>
      </c>
      <c r="F90" s="723">
        <f t="shared" si="12"/>
        <v>0</v>
      </c>
      <c r="G90" s="723">
        <f t="shared" si="12"/>
        <v>0</v>
      </c>
      <c r="H90" s="723">
        <f t="shared" si="12"/>
        <v>0</v>
      </c>
      <c r="I90" s="723">
        <f>SUM(I87:I89)</f>
        <v>0</v>
      </c>
      <c r="J90" s="723">
        <f>SUM(J87:J89)</f>
        <v>315.37815126050418</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26954.26789923769</v>
      </c>
      <c r="C4" s="445">
        <f>huishoudens!C8</f>
        <v>0</v>
      </c>
      <c r="D4" s="445">
        <f>huishoudens!D8</f>
        <v>53364.600752099999</v>
      </c>
      <c r="E4" s="445">
        <f>huishoudens!E8</f>
        <v>1681.7203097408831</v>
      </c>
      <c r="F4" s="445">
        <f>huishoudens!F8</f>
        <v>42607.254305545612</v>
      </c>
      <c r="G4" s="445">
        <f>huishoudens!G8</f>
        <v>0</v>
      </c>
      <c r="H4" s="445">
        <f>huishoudens!H8</f>
        <v>0</v>
      </c>
      <c r="I4" s="445">
        <f>huishoudens!I8</f>
        <v>0</v>
      </c>
      <c r="J4" s="445">
        <f>huishoudens!J8</f>
        <v>205.02132755918643</v>
      </c>
      <c r="K4" s="445">
        <f>huishoudens!K8</f>
        <v>0</v>
      </c>
      <c r="L4" s="445">
        <f>huishoudens!L8</f>
        <v>0</v>
      </c>
      <c r="M4" s="445">
        <f>huishoudens!M8</f>
        <v>0</v>
      </c>
      <c r="N4" s="445">
        <f>huishoudens!N8</f>
        <v>10410.677741716003</v>
      </c>
      <c r="O4" s="445">
        <f>huishoudens!O8</f>
        <v>334.55333333333334</v>
      </c>
      <c r="P4" s="446">
        <f>huishoudens!P8</f>
        <v>667.33333333333337</v>
      </c>
      <c r="Q4" s="447">
        <f>SUM(B4:P4)</f>
        <v>136225.42900256603</v>
      </c>
    </row>
    <row r="5" spans="1:17">
      <c r="A5" s="444" t="s">
        <v>155</v>
      </c>
      <c r="B5" s="445">
        <f ca="1">tertiair!B16</f>
        <v>28154.583347</v>
      </c>
      <c r="C5" s="445">
        <f ca="1">tertiair!C16</f>
        <v>0</v>
      </c>
      <c r="D5" s="445">
        <f ca="1">tertiair!D16</f>
        <v>21016.459303333999</v>
      </c>
      <c r="E5" s="445">
        <f>tertiair!E16</f>
        <v>393.61089592548694</v>
      </c>
      <c r="F5" s="445">
        <f ca="1">tertiair!F16</f>
        <v>5634.3277504097377</v>
      </c>
      <c r="G5" s="445">
        <f>tertiair!G16</f>
        <v>0</v>
      </c>
      <c r="H5" s="445">
        <f>tertiair!H16</f>
        <v>0</v>
      </c>
      <c r="I5" s="445">
        <f>tertiair!I16</f>
        <v>0</v>
      </c>
      <c r="J5" s="445">
        <f>tertiair!J16</f>
        <v>0.20486967502495257</v>
      </c>
      <c r="K5" s="445">
        <f>tertiair!K16</f>
        <v>0</v>
      </c>
      <c r="L5" s="445">
        <f ca="1">tertiair!L16</f>
        <v>0</v>
      </c>
      <c r="M5" s="445">
        <f>tertiair!M16</f>
        <v>0</v>
      </c>
      <c r="N5" s="445">
        <f ca="1">tertiair!N16</f>
        <v>8059.812319446024</v>
      </c>
      <c r="O5" s="445">
        <f>tertiair!O16</f>
        <v>3.1266666666666669</v>
      </c>
      <c r="P5" s="446">
        <f>tertiair!P16</f>
        <v>19.066666666666666</v>
      </c>
      <c r="Q5" s="444">
        <f t="shared" ref="Q5:Q14" ca="1" si="0">SUM(B5:P5)</f>
        <v>63281.191819123604</v>
      </c>
    </row>
    <row r="6" spans="1:17">
      <c r="A6" s="444" t="s">
        <v>193</v>
      </c>
      <c r="B6" s="445">
        <f>'openbare verlichting'!B8</f>
        <v>845.55600000000004</v>
      </c>
      <c r="C6" s="445"/>
      <c r="D6" s="445"/>
      <c r="E6" s="445"/>
      <c r="F6" s="445"/>
      <c r="G6" s="445"/>
      <c r="H6" s="445"/>
      <c r="I6" s="445"/>
      <c r="J6" s="445"/>
      <c r="K6" s="445"/>
      <c r="L6" s="445"/>
      <c r="M6" s="445"/>
      <c r="N6" s="445"/>
      <c r="O6" s="445"/>
      <c r="P6" s="446"/>
      <c r="Q6" s="444">
        <f t="shared" si="0"/>
        <v>845.55600000000004</v>
      </c>
    </row>
    <row r="7" spans="1:17">
      <c r="A7" s="444" t="s">
        <v>111</v>
      </c>
      <c r="B7" s="445">
        <f>landbouw!B8</f>
        <v>9783.4557074118766</v>
      </c>
      <c r="C7" s="445">
        <f>landbouw!C8</f>
        <v>268.07142857142856</v>
      </c>
      <c r="D7" s="445">
        <f>landbouw!D8</f>
        <v>958.51481000000001</v>
      </c>
      <c r="E7" s="445">
        <f>landbouw!E8</f>
        <v>287.5656453636048</v>
      </c>
      <c r="F7" s="445">
        <f>landbouw!F8</f>
        <v>40757.347806880112</v>
      </c>
      <c r="G7" s="445">
        <f>landbouw!G8</f>
        <v>0</v>
      </c>
      <c r="H7" s="445">
        <f>landbouw!H8</f>
        <v>0</v>
      </c>
      <c r="I7" s="445">
        <f>landbouw!I8</f>
        <v>0</v>
      </c>
      <c r="J7" s="445">
        <f>landbouw!J8</f>
        <v>1417.4126298876488</v>
      </c>
      <c r="K7" s="445">
        <f>landbouw!K8</f>
        <v>0</v>
      </c>
      <c r="L7" s="445">
        <f>landbouw!L8</f>
        <v>0</v>
      </c>
      <c r="M7" s="445">
        <f>landbouw!M8</f>
        <v>0</v>
      </c>
      <c r="N7" s="445">
        <f>landbouw!N8</f>
        <v>0</v>
      </c>
      <c r="O7" s="445">
        <f>landbouw!O8</f>
        <v>0</v>
      </c>
      <c r="P7" s="446">
        <f>landbouw!P8</f>
        <v>0</v>
      </c>
      <c r="Q7" s="444">
        <f t="shared" si="0"/>
        <v>53472.368028114674</v>
      </c>
    </row>
    <row r="8" spans="1:17">
      <c r="A8" s="444" t="s">
        <v>627</v>
      </c>
      <c r="B8" s="445">
        <f>industrie!B18</f>
        <v>22886.706539999999</v>
      </c>
      <c r="C8" s="445">
        <f>industrie!C18</f>
        <v>0</v>
      </c>
      <c r="D8" s="445">
        <f>industrie!D18</f>
        <v>7913.2774094440001</v>
      </c>
      <c r="E8" s="445">
        <f>industrie!E18</f>
        <v>3901.5604716916969</v>
      </c>
      <c r="F8" s="445">
        <f>industrie!F18</f>
        <v>11309.410026341366</v>
      </c>
      <c r="G8" s="445">
        <f>industrie!G18</f>
        <v>0</v>
      </c>
      <c r="H8" s="445">
        <f>industrie!H18</f>
        <v>0</v>
      </c>
      <c r="I8" s="445">
        <f>industrie!I18</f>
        <v>0</v>
      </c>
      <c r="J8" s="445">
        <f>industrie!J18</f>
        <v>1.2066596871772828</v>
      </c>
      <c r="K8" s="445">
        <f>industrie!K18</f>
        <v>0</v>
      </c>
      <c r="L8" s="445">
        <f>industrie!L18</f>
        <v>0</v>
      </c>
      <c r="M8" s="445">
        <f>industrie!M18</f>
        <v>0</v>
      </c>
      <c r="N8" s="445">
        <f>industrie!N18</f>
        <v>1571.0123898844247</v>
      </c>
      <c r="O8" s="445">
        <f>industrie!O18</f>
        <v>0</v>
      </c>
      <c r="P8" s="446">
        <f>industrie!P18</f>
        <v>0</v>
      </c>
      <c r="Q8" s="444">
        <f t="shared" si="0"/>
        <v>47583.173497048658</v>
      </c>
    </row>
    <row r="9" spans="1:17" s="450" customFormat="1">
      <c r="A9" s="448" t="s">
        <v>553</v>
      </c>
      <c r="B9" s="449">
        <f>transport!B14</f>
        <v>79.818624419798738</v>
      </c>
      <c r="C9" s="449">
        <f>transport!C14</f>
        <v>0</v>
      </c>
      <c r="D9" s="449">
        <f>transport!D14</f>
        <v>139.24973188357444</v>
      </c>
      <c r="E9" s="449">
        <f>transport!E14</f>
        <v>242.65598415551256</v>
      </c>
      <c r="F9" s="449">
        <f>transport!F14</f>
        <v>0</v>
      </c>
      <c r="G9" s="449">
        <f>transport!G14</f>
        <v>107411.50174593841</v>
      </c>
      <c r="H9" s="449">
        <f>transport!H14</f>
        <v>22393.44214229178</v>
      </c>
      <c r="I9" s="449">
        <f>transport!I14</f>
        <v>0</v>
      </c>
      <c r="J9" s="449">
        <f>transport!J14</f>
        <v>0</v>
      </c>
      <c r="K9" s="449">
        <f>transport!K14</f>
        <v>0</v>
      </c>
      <c r="L9" s="449">
        <f>transport!L14</f>
        <v>0</v>
      </c>
      <c r="M9" s="449">
        <f>transport!M14</f>
        <v>6934.8324840546729</v>
      </c>
      <c r="N9" s="449">
        <f>transport!N14</f>
        <v>0</v>
      </c>
      <c r="O9" s="449">
        <f>transport!O14</f>
        <v>0</v>
      </c>
      <c r="P9" s="449">
        <f>transport!P14</f>
        <v>0</v>
      </c>
      <c r="Q9" s="448">
        <f>SUM(B9:P9)</f>
        <v>137201.50071274376</v>
      </c>
    </row>
    <row r="10" spans="1:17">
      <c r="A10" s="444" t="s">
        <v>543</v>
      </c>
      <c r="B10" s="445">
        <f>transport!B54</f>
        <v>19.581052214508489</v>
      </c>
      <c r="C10" s="445">
        <f>transport!C54</f>
        <v>0</v>
      </c>
      <c r="D10" s="445">
        <f>transport!D54</f>
        <v>0</v>
      </c>
      <c r="E10" s="445">
        <f>transport!E54</f>
        <v>0</v>
      </c>
      <c r="F10" s="445">
        <f>transport!F54</f>
        <v>0</v>
      </c>
      <c r="G10" s="445">
        <f>transport!G54</f>
        <v>1839.4454960620722</v>
      </c>
      <c r="H10" s="445">
        <f>transport!H54</f>
        <v>0</v>
      </c>
      <c r="I10" s="445">
        <f>transport!I54</f>
        <v>0</v>
      </c>
      <c r="J10" s="445">
        <f>transport!J54</f>
        <v>0</v>
      </c>
      <c r="K10" s="445">
        <f>transport!K54</f>
        <v>0</v>
      </c>
      <c r="L10" s="445">
        <f>transport!L54</f>
        <v>0</v>
      </c>
      <c r="M10" s="445">
        <f>transport!M54</f>
        <v>105.92814315363391</v>
      </c>
      <c r="N10" s="445">
        <f>transport!N54</f>
        <v>0</v>
      </c>
      <c r="O10" s="445">
        <f>transport!O54</f>
        <v>0</v>
      </c>
      <c r="P10" s="446">
        <f>transport!P54</f>
        <v>0</v>
      </c>
      <c r="Q10" s="444">
        <f t="shared" si="0"/>
        <v>1964.9546914302146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787.72655000000009</v>
      </c>
      <c r="C14" s="452"/>
      <c r="D14" s="452">
        <f>'SEAP template'!E25</f>
        <v>4002.1060950000001</v>
      </c>
      <c r="E14" s="452"/>
      <c r="F14" s="452"/>
      <c r="G14" s="452"/>
      <c r="H14" s="452"/>
      <c r="I14" s="452"/>
      <c r="J14" s="452"/>
      <c r="K14" s="452"/>
      <c r="L14" s="452"/>
      <c r="M14" s="452"/>
      <c r="N14" s="452"/>
      <c r="O14" s="452"/>
      <c r="P14" s="453"/>
      <c r="Q14" s="444">
        <f t="shared" si="0"/>
        <v>4789.8326450000004</v>
      </c>
    </row>
    <row r="15" spans="1:17" s="454" customFormat="1">
      <c r="A15" s="999" t="s">
        <v>547</v>
      </c>
      <c r="B15" s="947">
        <f ca="1">SUM(B4:B14)</f>
        <v>89511.695720283868</v>
      </c>
      <c r="C15" s="947">
        <f t="shared" ref="C15:Q15" ca="1" si="1">SUM(C4:C14)</f>
        <v>268.07142857142856</v>
      </c>
      <c r="D15" s="947">
        <f t="shared" ca="1" si="1"/>
        <v>87394.208101761571</v>
      </c>
      <c r="E15" s="947">
        <f t="shared" si="1"/>
        <v>6507.1133068771842</v>
      </c>
      <c r="F15" s="947">
        <f t="shared" ca="1" si="1"/>
        <v>100308.33988917683</v>
      </c>
      <c r="G15" s="947">
        <f t="shared" si="1"/>
        <v>109250.94724200049</v>
      </c>
      <c r="H15" s="947">
        <f t="shared" si="1"/>
        <v>22393.44214229178</v>
      </c>
      <c r="I15" s="947">
        <f t="shared" si="1"/>
        <v>0</v>
      </c>
      <c r="J15" s="947">
        <f t="shared" si="1"/>
        <v>1623.8454868090375</v>
      </c>
      <c r="K15" s="947">
        <f t="shared" si="1"/>
        <v>0</v>
      </c>
      <c r="L15" s="947">
        <f t="shared" ca="1" si="1"/>
        <v>0</v>
      </c>
      <c r="M15" s="947">
        <f t="shared" si="1"/>
        <v>7040.7606272083067</v>
      </c>
      <c r="N15" s="947">
        <f t="shared" ca="1" si="1"/>
        <v>20041.50245104645</v>
      </c>
      <c r="O15" s="947">
        <f t="shared" si="1"/>
        <v>337.68</v>
      </c>
      <c r="P15" s="947">
        <f t="shared" si="1"/>
        <v>686.40000000000009</v>
      </c>
      <c r="Q15" s="947">
        <f t="shared" ca="1" si="1"/>
        <v>445364.00639602699</v>
      </c>
    </row>
    <row r="17" spans="1:17">
      <c r="A17" s="455" t="s">
        <v>548</v>
      </c>
      <c r="B17" s="754">
        <f ca="1">huishoudens!B10</f>
        <v>0.18903467986597369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5095.2914033540883</v>
      </c>
      <c r="C22" s="445">
        <f t="shared" ref="C22:C32" ca="1" si="3">C4*$C$17</f>
        <v>0</v>
      </c>
      <c r="D22" s="445">
        <f t="shared" ref="D22:D32" si="4">D4*$D$17</f>
        <v>10779.649351924201</v>
      </c>
      <c r="E22" s="445">
        <f t="shared" ref="E22:E32" si="5">E4*$E$17</f>
        <v>381.75051031118045</v>
      </c>
      <c r="F22" s="445">
        <f t="shared" ref="F22:F32" si="6">F4*$F$17</f>
        <v>11376.136899580679</v>
      </c>
      <c r="G22" s="445">
        <f t="shared" ref="G22:G32" si="7">G4*$G$17</f>
        <v>0</v>
      </c>
      <c r="H22" s="445">
        <f t="shared" ref="H22:H32" si="8">H4*$H$17</f>
        <v>0</v>
      </c>
      <c r="I22" s="445">
        <f t="shared" ref="I22:I32" si="9">I4*$I$17</f>
        <v>0</v>
      </c>
      <c r="J22" s="445">
        <f t="shared" ref="J22:J32" si="10">J4*$J$17</f>
        <v>72.577549955951994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27705.4057151261</v>
      </c>
    </row>
    <row r="23" spans="1:17">
      <c r="A23" s="444" t="s">
        <v>155</v>
      </c>
      <c r="B23" s="445">
        <f t="shared" ca="1" si="2"/>
        <v>5322.1926497600189</v>
      </c>
      <c r="C23" s="445">
        <f t="shared" ca="1" si="3"/>
        <v>0</v>
      </c>
      <c r="D23" s="445">
        <f t="shared" ca="1" si="4"/>
        <v>4245.3247792734683</v>
      </c>
      <c r="E23" s="445">
        <f t="shared" si="5"/>
        <v>89.349673375085544</v>
      </c>
      <c r="F23" s="445">
        <f t="shared" ca="1" si="6"/>
        <v>1504.3655093594</v>
      </c>
      <c r="G23" s="445">
        <f t="shared" si="7"/>
        <v>0</v>
      </c>
      <c r="H23" s="445">
        <f t="shared" si="8"/>
        <v>0</v>
      </c>
      <c r="I23" s="445">
        <f t="shared" si="9"/>
        <v>0</v>
      </c>
      <c r="J23" s="445">
        <f t="shared" si="10"/>
        <v>7.2523864958833201E-2</v>
      </c>
      <c r="K23" s="445">
        <f t="shared" si="11"/>
        <v>0</v>
      </c>
      <c r="L23" s="445">
        <f t="shared" ca="1" si="12"/>
        <v>0</v>
      </c>
      <c r="M23" s="445">
        <f t="shared" si="13"/>
        <v>0</v>
      </c>
      <c r="N23" s="445">
        <f t="shared" ca="1" si="14"/>
        <v>0</v>
      </c>
      <c r="O23" s="445">
        <f t="shared" si="15"/>
        <v>0</v>
      </c>
      <c r="P23" s="446">
        <f t="shared" si="16"/>
        <v>0</v>
      </c>
      <c r="Q23" s="444">
        <f t="shared" ref="Q23:Q32" ca="1" si="17">SUM(B23:P23)</f>
        <v>11161.305135632932</v>
      </c>
    </row>
    <row r="24" spans="1:17">
      <c r="A24" s="444" t="s">
        <v>193</v>
      </c>
      <c r="B24" s="445">
        <f t="shared" ca="1" si="2"/>
        <v>159.83940776875326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159.83940776875326</v>
      </c>
    </row>
    <row r="25" spans="1:17">
      <c r="A25" s="444" t="s">
        <v>111</v>
      </c>
      <c r="B25" s="445">
        <f t="shared" ca="1" si="2"/>
        <v>1849.4124176335372</v>
      </c>
      <c r="C25" s="445">
        <f t="shared" ca="1" si="3"/>
        <v>0</v>
      </c>
      <c r="D25" s="445">
        <f t="shared" si="4"/>
        <v>193.61999162000001</v>
      </c>
      <c r="E25" s="445">
        <f t="shared" si="5"/>
        <v>65.277401497538293</v>
      </c>
      <c r="F25" s="445">
        <f t="shared" si="6"/>
        <v>10882.211864436991</v>
      </c>
      <c r="G25" s="445">
        <f t="shared" si="7"/>
        <v>0</v>
      </c>
      <c r="H25" s="445">
        <f t="shared" si="8"/>
        <v>0</v>
      </c>
      <c r="I25" s="445">
        <f t="shared" si="9"/>
        <v>0</v>
      </c>
      <c r="J25" s="445">
        <f t="shared" si="10"/>
        <v>501.76407098022764</v>
      </c>
      <c r="K25" s="445">
        <f t="shared" si="11"/>
        <v>0</v>
      </c>
      <c r="L25" s="445">
        <f t="shared" si="12"/>
        <v>0</v>
      </c>
      <c r="M25" s="445">
        <f t="shared" si="13"/>
        <v>0</v>
      </c>
      <c r="N25" s="445">
        <f t="shared" si="14"/>
        <v>0</v>
      </c>
      <c r="O25" s="445">
        <f t="shared" si="15"/>
        <v>0</v>
      </c>
      <c r="P25" s="446">
        <f t="shared" si="16"/>
        <v>0</v>
      </c>
      <c r="Q25" s="444">
        <f t="shared" ca="1" si="17"/>
        <v>13492.285746168294</v>
      </c>
    </row>
    <row r="26" spans="1:17">
      <c r="A26" s="444" t="s">
        <v>627</v>
      </c>
      <c r="B26" s="445">
        <f t="shared" ca="1" si="2"/>
        <v>4326.3812439753865</v>
      </c>
      <c r="C26" s="445">
        <f t="shared" ca="1" si="3"/>
        <v>0</v>
      </c>
      <c r="D26" s="445">
        <f t="shared" si="4"/>
        <v>1598.4820367076882</v>
      </c>
      <c r="E26" s="445">
        <f t="shared" si="5"/>
        <v>885.65422707401524</v>
      </c>
      <c r="F26" s="445">
        <f t="shared" si="6"/>
        <v>3019.6124770331448</v>
      </c>
      <c r="G26" s="445">
        <f t="shared" si="7"/>
        <v>0</v>
      </c>
      <c r="H26" s="445">
        <f t="shared" si="8"/>
        <v>0</v>
      </c>
      <c r="I26" s="445">
        <f t="shared" si="9"/>
        <v>0</v>
      </c>
      <c r="J26" s="445">
        <f t="shared" si="10"/>
        <v>0.42715752926075806</v>
      </c>
      <c r="K26" s="445">
        <f t="shared" si="11"/>
        <v>0</v>
      </c>
      <c r="L26" s="445">
        <f t="shared" si="12"/>
        <v>0</v>
      </c>
      <c r="M26" s="445">
        <f t="shared" si="13"/>
        <v>0</v>
      </c>
      <c r="N26" s="445">
        <f t="shared" si="14"/>
        <v>0</v>
      </c>
      <c r="O26" s="445">
        <f t="shared" si="15"/>
        <v>0</v>
      </c>
      <c r="P26" s="446">
        <f t="shared" si="16"/>
        <v>0</v>
      </c>
      <c r="Q26" s="444">
        <f t="shared" ca="1" si="17"/>
        <v>9830.5571423194961</v>
      </c>
    </row>
    <row r="27" spans="1:17" s="450" customFormat="1">
      <c r="A27" s="448" t="s">
        <v>553</v>
      </c>
      <c r="B27" s="748">
        <f t="shared" ca="1" si="2"/>
        <v>15.088488114539045</v>
      </c>
      <c r="C27" s="449">
        <f t="shared" ca="1" si="3"/>
        <v>0</v>
      </c>
      <c r="D27" s="449">
        <f t="shared" si="4"/>
        <v>28.128445840482041</v>
      </c>
      <c r="E27" s="449">
        <f t="shared" si="5"/>
        <v>55.082908403301353</v>
      </c>
      <c r="F27" s="449">
        <f t="shared" si="6"/>
        <v>0</v>
      </c>
      <c r="G27" s="449">
        <f t="shared" si="7"/>
        <v>28678.870966165556</v>
      </c>
      <c r="H27" s="449">
        <f t="shared" si="8"/>
        <v>5575.9670934306532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34353.137901954535</v>
      </c>
    </row>
    <row r="28" spans="1:17">
      <c r="A28" s="444" t="s">
        <v>543</v>
      </c>
      <c r="B28" s="445">
        <f t="shared" ca="1" si="2"/>
        <v>3.7014979368085275</v>
      </c>
      <c r="C28" s="445">
        <f t="shared" ca="1" si="3"/>
        <v>0</v>
      </c>
      <c r="D28" s="445">
        <f t="shared" si="4"/>
        <v>0</v>
      </c>
      <c r="E28" s="445">
        <f t="shared" si="5"/>
        <v>0</v>
      </c>
      <c r="F28" s="445">
        <f t="shared" si="6"/>
        <v>0</v>
      </c>
      <c r="G28" s="445">
        <f t="shared" si="7"/>
        <v>491.13194744857327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494.83344538538182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148.90763620117792</v>
      </c>
      <c r="C32" s="445">
        <f t="shared" ca="1" si="3"/>
        <v>0</v>
      </c>
      <c r="D32" s="445">
        <f t="shared" si="4"/>
        <v>808.42543119000004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957.33306739117802</v>
      </c>
    </row>
    <row r="33" spans="1:17" s="454" customFormat="1">
      <c r="A33" s="999" t="s">
        <v>547</v>
      </c>
      <c r="B33" s="947">
        <f ca="1">SUM(B22:B32)</f>
        <v>16920.814744744308</v>
      </c>
      <c r="C33" s="947">
        <f t="shared" ref="C33:Q33" ca="1" si="18">SUM(C22:C32)</f>
        <v>0</v>
      </c>
      <c r="D33" s="947">
        <f t="shared" ca="1" si="18"/>
        <v>17653.630036555838</v>
      </c>
      <c r="E33" s="947">
        <f t="shared" si="18"/>
        <v>1477.1147206611211</v>
      </c>
      <c r="F33" s="947">
        <f t="shared" ca="1" si="18"/>
        <v>26782.326750410215</v>
      </c>
      <c r="G33" s="947">
        <f t="shared" si="18"/>
        <v>29170.002913614127</v>
      </c>
      <c r="H33" s="947">
        <f t="shared" si="18"/>
        <v>5575.9670934306532</v>
      </c>
      <c r="I33" s="947">
        <f t="shared" si="18"/>
        <v>0</v>
      </c>
      <c r="J33" s="947">
        <f t="shared" si="18"/>
        <v>574.84130233039923</v>
      </c>
      <c r="K33" s="947">
        <f t="shared" si="18"/>
        <v>0</v>
      </c>
      <c r="L33" s="947">
        <f t="shared" ca="1" si="18"/>
        <v>0</v>
      </c>
      <c r="M33" s="947">
        <f t="shared" si="18"/>
        <v>0</v>
      </c>
      <c r="N33" s="947">
        <f t="shared" ca="1" si="18"/>
        <v>0</v>
      </c>
      <c r="O33" s="947">
        <f t="shared" si="18"/>
        <v>0</v>
      </c>
      <c r="P33" s="947">
        <f t="shared" si="18"/>
        <v>0</v>
      </c>
      <c r="Q33" s="947">
        <f t="shared" ca="1" si="18"/>
        <v>98154.697561746681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2755.9170004074117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8302.3561192234774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187.64999999999998</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220.76470588235293</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1701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4860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12946.923119630888</v>
      </c>
      <c r="C10" s="1020">
        <f>SUM(C4:C9)</f>
        <v>0</v>
      </c>
      <c r="D10" s="1020">
        <f t="shared" ref="D10:H10" si="0">SUM(D8:D9)</f>
        <v>0</v>
      </c>
      <c r="E10" s="1020">
        <f t="shared" si="0"/>
        <v>0</v>
      </c>
      <c r="F10" s="1020">
        <f t="shared" si="0"/>
        <v>0</v>
      </c>
      <c r="G10" s="1020">
        <f t="shared" si="0"/>
        <v>0</v>
      </c>
      <c r="H10" s="1020">
        <f t="shared" si="0"/>
        <v>0</v>
      </c>
      <c r="I10" s="1020">
        <f>SUM(I8:I9)</f>
        <v>0</v>
      </c>
      <c r="J10" s="1020">
        <f>SUM(J8:J9)</f>
        <v>5080.7647058823532</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0.18903467986597369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268.07142857142856</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315.37815126050418</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268.07142857142856</v>
      </c>
      <c r="C20" s="1020">
        <f>SUM(C17:C19)</f>
        <v>0</v>
      </c>
      <c r="D20" s="1020">
        <f t="shared" ref="D20:H20" si="2">SUM(D17:D19)</f>
        <v>0</v>
      </c>
      <c r="E20" s="1020">
        <f t="shared" si="2"/>
        <v>0</v>
      </c>
      <c r="F20" s="1020">
        <f t="shared" si="2"/>
        <v>0</v>
      </c>
      <c r="G20" s="1020">
        <f t="shared" si="2"/>
        <v>0</v>
      </c>
      <c r="H20" s="1020">
        <f t="shared" si="2"/>
        <v>0</v>
      </c>
      <c r="I20" s="1020">
        <f>SUM(I17:I19)</f>
        <v>0</v>
      </c>
      <c r="J20" s="1020">
        <f>SUM(J17:J19)</f>
        <v>315.37815126050418</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0.18903467986597369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0.18903467986597369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0.18903467986597369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7072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12274.45</v>
      </c>
      <c r="C14" s="324"/>
      <c r="D14" s="324"/>
      <c r="E14" s="324"/>
      <c r="F14" s="324"/>
    </row>
    <row r="15" spans="1:6">
      <c r="A15" s="1291" t="s">
        <v>183</v>
      </c>
      <c r="B15" s="1292">
        <v>173</v>
      </c>
      <c r="C15" s="324"/>
      <c r="D15" s="324"/>
      <c r="E15" s="324"/>
      <c r="F15" s="324"/>
    </row>
    <row r="16" spans="1:6">
      <c r="A16" s="1291" t="s">
        <v>6</v>
      </c>
      <c r="B16" s="1292">
        <v>7246</v>
      </c>
      <c r="C16" s="324"/>
      <c r="D16" s="324"/>
      <c r="E16" s="324"/>
      <c r="F16" s="324"/>
    </row>
    <row r="17" spans="1:6">
      <c r="A17" s="1291" t="s">
        <v>7</v>
      </c>
      <c r="B17" s="1292">
        <v>3360</v>
      </c>
      <c r="C17" s="324"/>
      <c r="D17" s="324"/>
      <c r="E17" s="324"/>
      <c r="F17" s="324"/>
    </row>
    <row r="18" spans="1:6">
      <c r="A18" s="1291" t="s">
        <v>8</v>
      </c>
      <c r="B18" s="1292">
        <v>6112</v>
      </c>
      <c r="C18" s="324"/>
      <c r="D18" s="324"/>
      <c r="E18" s="324"/>
      <c r="F18" s="324"/>
    </row>
    <row r="19" spans="1:6">
      <c r="A19" s="1291" t="s">
        <v>9</v>
      </c>
      <c r="B19" s="1292">
        <v>6100</v>
      </c>
      <c r="C19" s="324"/>
      <c r="D19" s="324"/>
      <c r="E19" s="324"/>
      <c r="F19" s="324"/>
    </row>
    <row r="20" spans="1:6">
      <c r="A20" s="1291" t="s">
        <v>10</v>
      </c>
      <c r="B20" s="1292">
        <v>3906</v>
      </c>
      <c r="C20" s="324"/>
      <c r="D20" s="324"/>
      <c r="E20" s="324"/>
      <c r="F20" s="324"/>
    </row>
    <row r="21" spans="1:6">
      <c r="A21" s="1291" t="s">
        <v>11</v>
      </c>
      <c r="B21" s="1292">
        <v>58385</v>
      </c>
      <c r="C21" s="324"/>
      <c r="D21" s="324"/>
      <c r="E21" s="324"/>
      <c r="F21" s="324"/>
    </row>
    <row r="22" spans="1:6">
      <c r="A22" s="1291" t="s">
        <v>12</v>
      </c>
      <c r="B22" s="1292">
        <v>114288</v>
      </c>
      <c r="C22" s="324"/>
      <c r="D22" s="324"/>
      <c r="E22" s="324"/>
      <c r="F22" s="324"/>
    </row>
    <row r="23" spans="1:6">
      <c r="A23" s="1291" t="s">
        <v>13</v>
      </c>
      <c r="B23" s="1292">
        <v>1842</v>
      </c>
      <c r="C23" s="324"/>
      <c r="D23" s="324"/>
      <c r="E23" s="324"/>
      <c r="F23" s="324"/>
    </row>
    <row r="24" spans="1:6">
      <c r="A24" s="1291" t="s">
        <v>14</v>
      </c>
      <c r="B24" s="1292">
        <v>97</v>
      </c>
      <c r="C24" s="324"/>
      <c r="D24" s="324"/>
      <c r="E24" s="324"/>
      <c r="F24" s="324"/>
    </row>
    <row r="25" spans="1:6">
      <c r="A25" s="1291" t="s">
        <v>15</v>
      </c>
      <c r="B25" s="1292">
        <v>12318</v>
      </c>
      <c r="C25" s="324"/>
      <c r="D25" s="324"/>
      <c r="E25" s="324"/>
      <c r="F25" s="324"/>
    </row>
    <row r="26" spans="1:6">
      <c r="A26" s="1291" t="s">
        <v>16</v>
      </c>
      <c r="B26" s="1292">
        <v>1520</v>
      </c>
      <c r="C26" s="324"/>
      <c r="D26" s="324"/>
      <c r="E26" s="324"/>
      <c r="F26" s="324"/>
    </row>
    <row r="27" spans="1:6">
      <c r="A27" s="1291" t="s">
        <v>17</v>
      </c>
      <c r="B27" s="1292">
        <v>17</v>
      </c>
      <c r="C27" s="324"/>
      <c r="D27" s="324"/>
      <c r="E27" s="324"/>
      <c r="F27" s="324"/>
    </row>
    <row r="28" spans="1:6" s="43" customFormat="1">
      <c r="A28" s="1293" t="s">
        <v>18</v>
      </c>
      <c r="B28" s="1294">
        <v>408082</v>
      </c>
      <c r="C28" s="330"/>
      <c r="D28" s="330"/>
      <c r="E28" s="330"/>
      <c r="F28" s="330"/>
    </row>
    <row r="29" spans="1:6">
      <c r="A29" s="1293" t="s">
        <v>722</v>
      </c>
      <c r="B29" s="1294">
        <v>156</v>
      </c>
      <c r="C29" s="330"/>
      <c r="D29" s="330"/>
      <c r="E29" s="330"/>
      <c r="F29" s="330"/>
    </row>
    <row r="30" spans="1:6">
      <c r="A30" s="1286" t="s">
        <v>723</v>
      </c>
      <c r="B30" s="1295">
        <v>33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11</v>
      </c>
      <c r="F36" s="1292">
        <v>74075</v>
      </c>
    </row>
    <row r="37" spans="1:6">
      <c r="A37" s="1291" t="s">
        <v>24</v>
      </c>
      <c r="B37" s="1291" t="s">
        <v>27</v>
      </c>
      <c r="C37" s="1292">
        <v>0</v>
      </c>
      <c r="D37" s="1292">
        <v>0</v>
      </c>
      <c r="E37" s="1292">
        <v>0</v>
      </c>
      <c r="F37" s="1292">
        <v>0</v>
      </c>
    </row>
    <row r="38" spans="1:6">
      <c r="A38" s="1291" t="s">
        <v>24</v>
      </c>
      <c r="B38" s="1291" t="s">
        <v>28</v>
      </c>
      <c r="C38" s="1292">
        <v>1</v>
      </c>
      <c r="D38" s="1292">
        <v>1143587.3330000001</v>
      </c>
      <c r="E38" s="1292">
        <v>0</v>
      </c>
      <c r="F38" s="1292">
        <v>0</v>
      </c>
    </row>
    <row r="39" spans="1:6">
      <c r="A39" s="1291" t="s">
        <v>29</v>
      </c>
      <c r="B39" s="1291" t="s">
        <v>30</v>
      </c>
      <c r="C39" s="1292">
        <v>4364</v>
      </c>
      <c r="D39" s="1292">
        <v>59162528.549999997</v>
      </c>
      <c r="E39" s="1292">
        <v>6586</v>
      </c>
      <c r="F39" s="1292">
        <v>23014166.966304604</v>
      </c>
    </row>
    <row r="40" spans="1:6">
      <c r="A40" s="1291" t="s">
        <v>29</v>
      </c>
      <c r="B40" s="1291" t="s">
        <v>28</v>
      </c>
      <c r="C40" s="1292">
        <v>0</v>
      </c>
      <c r="D40" s="1292">
        <v>0</v>
      </c>
      <c r="E40" s="1292">
        <v>0</v>
      </c>
      <c r="F40" s="1292">
        <v>0</v>
      </c>
    </row>
    <row r="41" spans="1:6">
      <c r="A41" s="1291" t="s">
        <v>31</v>
      </c>
      <c r="B41" s="1291" t="s">
        <v>32</v>
      </c>
      <c r="C41" s="1292">
        <v>105</v>
      </c>
      <c r="D41" s="1292">
        <v>5032657.2719999999</v>
      </c>
      <c r="E41" s="1292">
        <v>252</v>
      </c>
      <c r="F41" s="1292">
        <v>13117662.501</v>
      </c>
    </row>
    <row r="42" spans="1:6">
      <c r="A42" s="1291" t="s">
        <v>31</v>
      </c>
      <c r="B42" s="1291" t="s">
        <v>33</v>
      </c>
      <c r="C42" s="1292">
        <v>0</v>
      </c>
      <c r="D42" s="1292">
        <v>0</v>
      </c>
      <c r="E42" s="1292">
        <v>3</v>
      </c>
      <c r="F42" s="1292">
        <v>178138</v>
      </c>
    </row>
    <row r="43" spans="1:6">
      <c r="A43" s="1291" t="s">
        <v>31</v>
      </c>
      <c r="B43" s="1291" t="s">
        <v>34</v>
      </c>
      <c r="C43" s="1292">
        <v>0</v>
      </c>
      <c r="D43" s="1292">
        <v>0</v>
      </c>
      <c r="E43" s="1292">
        <v>0</v>
      </c>
      <c r="F43" s="1292">
        <v>0</v>
      </c>
    </row>
    <row r="44" spans="1:6">
      <c r="A44" s="1291" t="s">
        <v>31</v>
      </c>
      <c r="B44" s="1291" t="s">
        <v>35</v>
      </c>
      <c r="C44" s="1292">
        <v>22</v>
      </c>
      <c r="D44" s="1292">
        <v>1975503</v>
      </c>
      <c r="E44" s="1292">
        <v>57</v>
      </c>
      <c r="F44" s="1292">
        <v>4137543.3220000002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220038</v>
      </c>
      <c r="E47" s="1292">
        <v>5</v>
      </c>
      <c r="F47" s="1292">
        <v>301417</v>
      </c>
    </row>
    <row r="48" spans="1:6">
      <c r="A48" s="1291" t="s">
        <v>31</v>
      </c>
      <c r="B48" s="1291" t="s">
        <v>28</v>
      </c>
      <c r="C48" s="1292">
        <v>2</v>
      </c>
      <c r="D48" s="1292">
        <v>187414</v>
      </c>
      <c r="E48" s="1292">
        <v>3</v>
      </c>
      <c r="F48" s="1292">
        <v>324036</v>
      </c>
    </row>
    <row r="49" spans="1:6">
      <c r="A49" s="1291" t="s">
        <v>31</v>
      </c>
      <c r="B49" s="1291" t="s">
        <v>39</v>
      </c>
      <c r="C49" s="1292">
        <v>0</v>
      </c>
      <c r="D49" s="1292">
        <v>0</v>
      </c>
      <c r="E49" s="1292">
        <v>0</v>
      </c>
      <c r="F49" s="1292">
        <v>0</v>
      </c>
    </row>
    <row r="50" spans="1:6">
      <c r="A50" s="1291" t="s">
        <v>31</v>
      </c>
      <c r="B50" s="1291" t="s">
        <v>40</v>
      </c>
      <c r="C50" s="1292">
        <v>18</v>
      </c>
      <c r="D50" s="1292">
        <v>1357422.55</v>
      </c>
      <c r="E50" s="1292">
        <v>38</v>
      </c>
      <c r="F50" s="1292">
        <v>4827909.7170000002</v>
      </c>
    </row>
    <row r="51" spans="1:6">
      <c r="A51" s="1291" t="s">
        <v>41</v>
      </c>
      <c r="B51" s="1291" t="s">
        <v>42</v>
      </c>
      <c r="C51" s="1292">
        <v>40</v>
      </c>
      <c r="D51" s="1292">
        <v>1062655</v>
      </c>
      <c r="E51" s="1292">
        <v>386</v>
      </c>
      <c r="F51" s="1292">
        <v>9751462.9480000008</v>
      </c>
    </row>
    <row r="52" spans="1:6">
      <c r="A52" s="1291" t="s">
        <v>41</v>
      </c>
      <c r="B52" s="1291" t="s">
        <v>28</v>
      </c>
      <c r="C52" s="1292">
        <v>0</v>
      </c>
      <c r="D52" s="1292">
        <v>0</v>
      </c>
      <c r="E52" s="1292">
        <v>1</v>
      </c>
      <c r="F52" s="1292">
        <v>31992.7594118743</v>
      </c>
    </row>
    <row r="53" spans="1:6">
      <c r="A53" s="1291" t="s">
        <v>43</v>
      </c>
      <c r="B53" s="1291" t="s">
        <v>44</v>
      </c>
      <c r="C53" s="1292">
        <v>85</v>
      </c>
      <c r="D53" s="1292">
        <v>4002106.0950000002</v>
      </c>
      <c r="E53" s="1292">
        <v>159</v>
      </c>
      <c r="F53" s="1292">
        <v>787726.55</v>
      </c>
    </row>
    <row r="54" spans="1:6">
      <c r="A54" s="1291" t="s">
        <v>45</v>
      </c>
      <c r="B54" s="1291" t="s">
        <v>46</v>
      </c>
      <c r="C54" s="1292">
        <v>0</v>
      </c>
      <c r="D54" s="1292">
        <v>0</v>
      </c>
      <c r="E54" s="1292">
        <v>1</v>
      </c>
      <c r="F54" s="1292">
        <v>845556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56</v>
      </c>
      <c r="D57" s="1292">
        <v>3990614.3670000001</v>
      </c>
      <c r="E57" s="1292">
        <v>120</v>
      </c>
      <c r="F57" s="1292">
        <v>9438354.3230000008</v>
      </c>
    </row>
    <row r="58" spans="1:6">
      <c r="A58" s="1291" t="s">
        <v>48</v>
      </c>
      <c r="B58" s="1291" t="s">
        <v>50</v>
      </c>
      <c r="C58" s="1292">
        <v>53</v>
      </c>
      <c r="D58" s="1292">
        <v>2116460.5499999998</v>
      </c>
      <c r="E58" s="1292">
        <v>69</v>
      </c>
      <c r="F58" s="1292">
        <v>1581351.274</v>
      </c>
    </row>
    <row r="59" spans="1:6">
      <c r="A59" s="1291" t="s">
        <v>48</v>
      </c>
      <c r="B59" s="1291" t="s">
        <v>51</v>
      </c>
      <c r="C59" s="1292">
        <v>188</v>
      </c>
      <c r="D59" s="1292">
        <v>5538383.5499999998</v>
      </c>
      <c r="E59" s="1292">
        <v>360</v>
      </c>
      <c r="F59" s="1292">
        <v>9161605.534</v>
      </c>
    </row>
    <row r="60" spans="1:6">
      <c r="A60" s="1291" t="s">
        <v>48</v>
      </c>
      <c r="B60" s="1291" t="s">
        <v>52</v>
      </c>
      <c r="C60" s="1292">
        <v>70</v>
      </c>
      <c r="D60" s="1292">
        <v>3492995</v>
      </c>
      <c r="E60" s="1292">
        <v>105</v>
      </c>
      <c r="F60" s="1292">
        <v>2439589.5079999999</v>
      </c>
    </row>
    <row r="61" spans="1:6">
      <c r="A61" s="1291" t="s">
        <v>48</v>
      </c>
      <c r="B61" s="1291" t="s">
        <v>53</v>
      </c>
      <c r="C61" s="1292">
        <v>168</v>
      </c>
      <c r="D61" s="1292">
        <v>7273458.5499999998</v>
      </c>
      <c r="E61" s="1292">
        <v>375</v>
      </c>
      <c r="F61" s="1292">
        <v>4538981.477</v>
      </c>
    </row>
    <row r="62" spans="1:6">
      <c r="A62" s="1291" t="s">
        <v>48</v>
      </c>
      <c r="B62" s="1291" t="s">
        <v>54</v>
      </c>
      <c r="C62" s="1292">
        <v>10</v>
      </c>
      <c r="D62" s="1292">
        <v>887932</v>
      </c>
      <c r="E62" s="1292">
        <v>27</v>
      </c>
      <c r="F62" s="1292">
        <v>994701.23100000003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23031</v>
      </c>
      <c r="E65" s="1292">
        <v>0</v>
      </c>
      <c r="F65" s="1292">
        <v>0</v>
      </c>
    </row>
    <row r="66" spans="1:6">
      <c r="A66" s="1291" t="s">
        <v>55</v>
      </c>
      <c r="B66" s="1291" t="s">
        <v>57</v>
      </c>
      <c r="C66" s="1292">
        <v>0</v>
      </c>
      <c r="D66" s="1292">
        <v>0</v>
      </c>
      <c r="E66" s="1292">
        <v>24</v>
      </c>
      <c r="F66" s="1292">
        <v>50562.603000000003</v>
      </c>
    </row>
    <row r="67" spans="1:6">
      <c r="A67" s="1293" t="s">
        <v>55</v>
      </c>
      <c r="B67" s="1293" t="s">
        <v>58</v>
      </c>
      <c r="C67" s="1292">
        <v>0</v>
      </c>
      <c r="D67" s="1292">
        <v>0</v>
      </c>
      <c r="E67" s="1292">
        <v>0</v>
      </c>
      <c r="F67" s="1292">
        <v>0</v>
      </c>
    </row>
    <row r="68" spans="1:6">
      <c r="A68" s="1286" t="s">
        <v>55</v>
      </c>
      <c r="B68" s="1286" t="s">
        <v>59</v>
      </c>
      <c r="C68" s="1295">
        <v>11</v>
      </c>
      <c r="D68" s="1295">
        <v>282786</v>
      </c>
      <c r="E68" s="1295">
        <v>26</v>
      </c>
      <c r="F68" s="1295">
        <v>492584.34299999999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131467925</v>
      </c>
      <c r="E73" s="443"/>
      <c r="F73" s="324"/>
    </row>
    <row r="74" spans="1:6">
      <c r="A74" s="1291" t="s">
        <v>63</v>
      </c>
      <c r="B74" s="1291" t="s">
        <v>648</v>
      </c>
      <c r="C74" s="1305" t="s">
        <v>650</v>
      </c>
      <c r="D74" s="1306">
        <v>13147773.5</v>
      </c>
      <c r="E74" s="443"/>
      <c r="F74" s="324"/>
    </row>
    <row r="75" spans="1:6">
      <c r="A75" s="1291" t="s">
        <v>64</v>
      </c>
      <c r="B75" s="1291" t="s">
        <v>647</v>
      </c>
      <c r="C75" s="1305" t="s">
        <v>651</v>
      </c>
      <c r="D75" s="1306">
        <v>22722770</v>
      </c>
      <c r="E75" s="443"/>
      <c r="F75" s="324"/>
    </row>
    <row r="76" spans="1:6">
      <c r="A76" s="1291" t="s">
        <v>64</v>
      </c>
      <c r="B76" s="1291" t="s">
        <v>648</v>
      </c>
      <c r="C76" s="1305" t="s">
        <v>652</v>
      </c>
      <c r="D76" s="1306">
        <v>660159.5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534441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2755.9170004074117</v>
      </c>
      <c r="C90" s="324"/>
      <c r="D90" s="324"/>
      <c r="E90" s="324"/>
      <c r="F90" s="324"/>
    </row>
    <row r="91" spans="1:6">
      <c r="A91" s="1291" t="s">
        <v>67</v>
      </c>
      <c r="B91" s="1292">
        <v>3940.1009329330846</v>
      </c>
      <c r="C91" s="324"/>
      <c r="D91" s="324"/>
      <c r="E91" s="324"/>
      <c r="F91" s="324"/>
    </row>
    <row r="92" spans="1:6">
      <c r="A92" s="1286" t="s">
        <v>68</v>
      </c>
      <c r="B92" s="1287">
        <v>4362.255186290392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2561</v>
      </c>
      <c r="C97" s="324"/>
      <c r="D97" s="324"/>
      <c r="E97" s="324"/>
      <c r="F97" s="324"/>
    </row>
    <row r="98" spans="1:6">
      <c r="A98" s="1291" t="s">
        <v>71</v>
      </c>
      <c r="B98" s="1292">
        <v>4</v>
      </c>
      <c r="C98" s="324"/>
      <c r="D98" s="324"/>
      <c r="E98" s="324"/>
      <c r="F98" s="324"/>
    </row>
    <row r="99" spans="1:6">
      <c r="A99" s="1291" t="s">
        <v>72</v>
      </c>
      <c r="B99" s="1292">
        <v>213</v>
      </c>
      <c r="C99" s="324"/>
      <c r="D99" s="324"/>
      <c r="E99" s="324"/>
      <c r="F99" s="324"/>
    </row>
    <row r="100" spans="1:6">
      <c r="A100" s="1291" t="s">
        <v>73</v>
      </c>
      <c r="B100" s="1292">
        <v>556</v>
      </c>
      <c r="C100" s="324"/>
      <c r="D100" s="324"/>
      <c r="E100" s="324"/>
      <c r="F100" s="324"/>
    </row>
    <row r="101" spans="1:6">
      <c r="A101" s="1291" t="s">
        <v>74</v>
      </c>
      <c r="B101" s="1292">
        <v>182</v>
      </c>
      <c r="C101" s="324"/>
      <c r="D101" s="324"/>
      <c r="E101" s="324"/>
      <c r="F101" s="324"/>
    </row>
    <row r="102" spans="1:6">
      <c r="A102" s="1291" t="s">
        <v>75</v>
      </c>
      <c r="B102" s="1292">
        <v>108</v>
      </c>
      <c r="C102" s="324"/>
      <c r="D102" s="324"/>
      <c r="E102" s="324"/>
      <c r="F102" s="324"/>
    </row>
    <row r="103" spans="1:6">
      <c r="A103" s="1291" t="s">
        <v>76</v>
      </c>
      <c r="B103" s="1292">
        <v>282</v>
      </c>
      <c r="C103" s="324"/>
      <c r="D103" s="324"/>
      <c r="E103" s="324"/>
      <c r="F103" s="324"/>
    </row>
    <row r="104" spans="1:6">
      <c r="A104" s="1291" t="s">
        <v>77</v>
      </c>
      <c r="B104" s="1292">
        <v>2006</v>
      </c>
      <c r="C104" s="324"/>
      <c r="D104" s="324"/>
      <c r="E104" s="324"/>
      <c r="F104" s="324"/>
    </row>
    <row r="105" spans="1:6">
      <c r="A105" s="1286" t="s">
        <v>78</v>
      </c>
      <c r="B105" s="1295">
        <v>12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25</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188</v>
      </c>
      <c r="C129" s="324"/>
      <c r="D129" s="324"/>
      <c r="E129" s="324"/>
      <c r="F129" s="324"/>
    </row>
    <row r="130" spans="1:6">
      <c r="A130" s="1291" t="s">
        <v>289</v>
      </c>
      <c r="B130" s="1292">
        <v>2</v>
      </c>
      <c r="C130" s="324"/>
      <c r="D130" s="324"/>
      <c r="E130" s="324"/>
      <c r="F130" s="324"/>
    </row>
    <row r="131" spans="1:6">
      <c r="A131" s="1291" t="s">
        <v>290</v>
      </c>
      <c r="B131" s="1292">
        <v>1</v>
      </c>
      <c r="C131" s="324"/>
      <c r="D131" s="324"/>
      <c r="E131" s="324"/>
      <c r="F131" s="324"/>
    </row>
    <row r="132" spans="1:6">
      <c r="A132" s="1286" t="s">
        <v>291</v>
      </c>
      <c r="B132" s="1287">
        <v>17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89511.695720283868</v>
      </c>
      <c r="C3" s="43" t="s">
        <v>169</v>
      </c>
      <c r="D3" s="43"/>
      <c r="E3" s="154"/>
      <c r="F3" s="43"/>
      <c r="G3" s="43"/>
      <c r="H3" s="43"/>
      <c r="I3" s="43"/>
      <c r="J3" s="43"/>
      <c r="K3" s="96"/>
    </row>
    <row r="4" spans="1:11">
      <c r="A4" s="352" t="s">
        <v>170</v>
      </c>
      <c r="B4" s="49">
        <f>IF(ISERROR('SEAP template'!B78+'SEAP template'!C78),0,'SEAP template'!B78+'SEAP template'!C78)</f>
        <v>12946.923119630888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0.18903467986597369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268.07142857142856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845.55600000000004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0.18903467986597369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159.83940776875326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B32*B41</f>
        <v>1681.7203097408831</v>
      </c>
      <c r="F5" s="17">
        <f>B36*B45</f>
        <v>42607.254305545612</v>
      </c>
      <c r="G5" s="18"/>
      <c r="H5" s="17"/>
      <c r="I5" s="17"/>
      <c r="J5" s="17">
        <f>B35*B44+C35*C44</f>
        <v>205.02132755918643</v>
      </c>
      <c r="K5" s="17"/>
      <c r="L5" s="17"/>
      <c r="M5" s="17"/>
      <c r="N5" s="17">
        <f>B34*B43+C34*C43</f>
        <v>10410.677741716003</v>
      </c>
      <c r="O5" s="17">
        <f>B52*B53*B54</f>
        <v>334.55333333333334</v>
      </c>
      <c r="P5" s="17">
        <f>B60*B61*B62/1000-B60*B61*B62/1000/B63</f>
        <v>667.33333333333337</v>
      </c>
    </row>
    <row r="6" spans="1:16">
      <c r="A6" s="16" t="s">
        <v>613</v>
      </c>
      <c r="B6" s="756">
        <f>kWh_PV_kleiner_dan_10kW</f>
        <v>3940.1009329330846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26954.26789923769</v>
      </c>
      <c r="C8" s="21">
        <f>C5</f>
        <v>0</v>
      </c>
      <c r="D8" s="21">
        <f>D5</f>
        <v>53364.600752099999</v>
      </c>
      <c r="E8" s="21">
        <f>E5</f>
        <v>1681.7203097408831</v>
      </c>
      <c r="F8" s="21">
        <f>F5</f>
        <v>42607.254305545612</v>
      </c>
      <c r="G8" s="21"/>
      <c r="H8" s="21"/>
      <c r="I8" s="21"/>
      <c r="J8" s="21">
        <f>J5</f>
        <v>205.02132755918643</v>
      </c>
      <c r="K8" s="21"/>
      <c r="L8" s="21">
        <f>L5</f>
        <v>0</v>
      </c>
      <c r="M8" s="21">
        <f>M5</f>
        <v>0</v>
      </c>
      <c r="N8" s="21">
        <f>N5</f>
        <v>10410.677741716003</v>
      </c>
      <c r="O8" s="21">
        <f>O5</f>
        <v>334.55333333333334</v>
      </c>
      <c r="P8" s="21">
        <f>P5</f>
        <v>667.33333333333337</v>
      </c>
    </row>
    <row r="9" spans="1:16">
      <c r="B9" s="19"/>
      <c r="C9" s="19"/>
      <c r="D9" s="254"/>
      <c r="E9" s="19"/>
      <c r="F9" s="19"/>
      <c r="G9" s="19"/>
      <c r="H9" s="19"/>
      <c r="I9" s="19"/>
      <c r="J9" s="19"/>
      <c r="K9" s="19"/>
      <c r="L9" s="19"/>
      <c r="M9" s="19"/>
      <c r="N9" s="19"/>
      <c r="O9" s="19"/>
      <c r="P9" s="19"/>
    </row>
    <row r="10" spans="1:16">
      <c r="A10" s="24" t="s">
        <v>213</v>
      </c>
      <c r="B10" s="25">
        <f ca="1">'EF ele_warmte'!B12</f>
        <v>0.18903467986597369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5095.2914033540883</v>
      </c>
      <c r="C12" s="23">
        <f ca="1">C10*C8</f>
        <v>0</v>
      </c>
      <c r="D12" s="23">
        <f>D8*D10</f>
        <v>10779.649351924201</v>
      </c>
      <c r="E12" s="23">
        <f>E10*E8</f>
        <v>381.75051031118045</v>
      </c>
      <c r="F12" s="23">
        <f>F10*F8</f>
        <v>11376.136899580679</v>
      </c>
      <c r="G12" s="23"/>
      <c r="H12" s="23"/>
      <c r="I12" s="23"/>
      <c r="J12" s="23">
        <f>J10*J8</f>
        <v>72.577549955951994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7072</v>
      </c>
      <c r="C26" s="36"/>
      <c r="D26" s="225"/>
    </row>
    <row r="27" spans="1:5" s="15" customFormat="1">
      <c r="A27" s="227" t="s">
        <v>768</v>
      </c>
      <c r="B27" s="37">
        <f>SUM(HH_hh_gas_aantal,HH_rest_gas_aantal)</f>
        <v>4364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4145.8</v>
      </c>
      <c r="C31" s="34" t="s">
        <v>110</v>
      </c>
      <c r="D31" s="171"/>
    </row>
    <row r="32" spans="1:5">
      <c r="A32" s="168" t="s">
        <v>72</v>
      </c>
      <c r="B32" s="33">
        <f>IF((B21*($B$26-($B$27-0.05*$B$27)-$B$60))&lt;0,0,B21*($B$26-($B$27-0.05*$B$27)-$B$60))</f>
        <v>31.804629118391553</v>
      </c>
      <c r="C32" s="34" t="s">
        <v>110</v>
      </c>
      <c r="D32" s="171"/>
    </row>
    <row r="33" spans="1:6">
      <c r="A33" s="168" t="s">
        <v>73</v>
      </c>
      <c r="B33" s="33">
        <f>IF((B22*($B$26-($B$27-0.05*$B$27)-$B$60))&lt;0,0,B22*($B$26-($B$27-0.05*$B$27)-$B$60))</f>
        <v>661.24494792196413</v>
      </c>
      <c r="C33" s="34" t="s">
        <v>110</v>
      </c>
      <c r="D33" s="171"/>
    </row>
    <row r="34" spans="1:6">
      <c r="A34" s="168" t="s">
        <v>74</v>
      </c>
      <c r="B34" s="33">
        <f>IF((B24*($B$26-($B$27-0.05*$B$27)-$B$60))&lt;0,0,B24*($B$26-($B$27-0.05*$B$27)-$B$60))</f>
        <v>131.49811331575933</v>
      </c>
      <c r="C34" s="33">
        <f>B26*C24</f>
        <v>1447.6069446736474</v>
      </c>
      <c r="D34" s="230"/>
    </row>
    <row r="35" spans="1:6">
      <c r="A35" s="168" t="s">
        <v>76</v>
      </c>
      <c r="B35" s="33">
        <f>IF((B19*($B$26-($B$27-0.05*$B$27)-$B$60))&lt;0,0,B19*($B$26-($B$27-0.05*$B$27)-$B$60))</f>
        <v>24.072674727917395</v>
      </c>
      <c r="C35" s="33">
        <f>B35/2</f>
        <v>12.036337363958697</v>
      </c>
      <c r="D35" s="230"/>
    </row>
    <row r="36" spans="1:6">
      <c r="A36" s="168" t="s">
        <v>77</v>
      </c>
      <c r="B36" s="33">
        <f>IF((B18*($B$26-($B$27-0.05*$B$27)-$B$60))&lt;0,0,B18*($B$26-($B$27-0.05*$B$27)-$B$60))</f>
        <v>2042.5796349159675</v>
      </c>
      <c r="C36" s="34" t="s">
        <v>110</v>
      </c>
      <c r="D36" s="171"/>
    </row>
    <row r="37" spans="1:6">
      <c r="A37" s="168" t="s">
        <v>78</v>
      </c>
      <c r="B37" s="33">
        <f>B60</f>
        <v>35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214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53</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52</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51</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50</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49</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54</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0.18903467986597369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5322.1926497600189</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4538.9814770000003</v>
      </c>
      <c r="C26" s="39">
        <f>IF(ISERROR(B26*3.6/1000000/'E Balans VL '!Z12*100),0,B26*3.6/1000000/'E Balans VL '!Z12*100)</f>
        <v>9.5946878096321242E-2</v>
      </c>
      <c r="D26" s="233" t="s">
        <v>732</v>
      </c>
      <c r="F26" s="6"/>
    </row>
    <row r="27" spans="1:18">
      <c r="A27" s="228" t="s">
        <v>52</v>
      </c>
      <c r="B27" s="33">
        <f>IF(ISERROR(TER_horeca_ele_kWh/1000),0,TER_horeca_ele_kWh/1000)</f>
        <v>2439.589508</v>
      </c>
      <c r="C27" s="39">
        <f>IF(ISERROR(B27*3.6/1000000/'E Balans VL '!Z9*100),0,B27*3.6/1000000/'E Balans VL '!Z9*100)</f>
        <v>0.19231193163420987</v>
      </c>
      <c r="D27" s="233" t="s">
        <v>732</v>
      </c>
      <c r="F27" s="6"/>
    </row>
    <row r="28" spans="1:18">
      <c r="A28" s="168" t="s">
        <v>51</v>
      </c>
      <c r="B28" s="33">
        <f>IF(ISERROR(TER_handel_ele_kWh/1000),0,TER_handel_ele_kWh/1000)</f>
        <v>9161.6055340000003</v>
      </c>
      <c r="C28" s="39">
        <f>IF(ISERROR(B28*3.6/1000000/'E Balans VL '!Z13*100),0,B28*3.6/1000000/'E Balans VL '!Z13*100)</f>
        <v>0.26590680963102209</v>
      </c>
      <c r="D28" s="233" t="s">
        <v>732</v>
      </c>
      <c r="F28" s="6"/>
    </row>
    <row r="29" spans="1:18">
      <c r="A29" s="228" t="s">
        <v>50</v>
      </c>
      <c r="B29" s="33">
        <f>IF(ISERROR(TER_gezond_ele_kWh/1000),0,TER_gezond_ele_kWh/1000)</f>
        <v>1581.3512739999999</v>
      </c>
      <c r="C29" s="39">
        <f>IF(ISERROR(B29*3.6/1000000/'E Balans VL '!Z10*100),0,B29*3.6/1000000/'E Balans VL '!Z10*100)</f>
        <v>0.16654225562553363</v>
      </c>
      <c r="D29" s="233" t="s">
        <v>732</v>
      </c>
      <c r="F29" s="6"/>
    </row>
    <row r="30" spans="1:18">
      <c r="A30" s="228" t="s">
        <v>49</v>
      </c>
      <c r="B30" s="33">
        <f>IF(ISERROR(TER_ander_ele_kWh/1000),0,TER_ander_ele_kWh/1000)</f>
        <v>9438.3543230000014</v>
      </c>
      <c r="C30" s="39">
        <f>IF(ISERROR(B30*3.6/1000000/'E Balans VL '!Z14*100),0,B30*3.6/1000000/'E Balans VL '!Z14*100)</f>
        <v>0.6961750648648416</v>
      </c>
      <c r="D30" s="233" t="s">
        <v>732</v>
      </c>
      <c r="F30" s="6"/>
    </row>
    <row r="31" spans="1:18">
      <c r="A31" s="228" t="s">
        <v>54</v>
      </c>
      <c r="B31" s="33">
        <f>IF(ISERROR(TER_onderwijs_ele_kWh/1000),0,TER_onderwijs_ele_kWh/1000)</f>
        <v>994.70123100000001</v>
      </c>
      <c r="C31" s="39">
        <f>IF(ISERROR(B31*3.6/1000000/'E Balans VL '!Z11*100),0,B31*3.6/1000000/'E Balans VL '!Z11*100)</f>
        <v>0.24703091020700901</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1571.0123898844247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32</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1028.9316305775819</v>
      </c>
      <c r="O9" s="33"/>
      <c r="P9" s="33"/>
      <c r="R9" s="32"/>
    </row>
    <row r="10" spans="1:18">
      <c r="A10" s="6" t="s">
        <v>40</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123.15461594659551</v>
      </c>
      <c r="O13" s="33"/>
      <c r="P13" s="33"/>
      <c r="R13" s="32"/>
    </row>
    <row r="14" spans="1:18">
      <c r="A14" s="6" t="s">
        <v>33</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264</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22.745575565627764</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1571.0123898844247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0.18903467986597369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4326.3812439753865</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4137.5433220000004</v>
      </c>
      <c r="C30" s="39">
        <f>IF(ISERROR(B30*3.6/1000000/'E Balans VL '!Z18*100),0,B30*3.6/1000000/'E Balans VL '!Z18*100)</f>
        <v>0.23448518941272078</v>
      </c>
      <c r="D30" s="233" t="s">
        <v>732</v>
      </c>
    </row>
    <row r="31" spans="1:18">
      <c r="A31" s="6" t="s">
        <v>32</v>
      </c>
      <c r="B31" s="37">
        <f>IF( ISERROR(IND_ander_ele_kWh/1000),0,IND_ander_ele_kWh/1000)</f>
        <v>13117.662501000001</v>
      </c>
      <c r="C31" s="39">
        <f>IF(ISERROR(B31*3.6/1000000/'E Balans VL '!Z19*100),0,B31*3.6/1000000/'E Balans VL '!Z19*100)</f>
        <v>0.5949625500493676</v>
      </c>
      <c r="D31" s="233" t="s">
        <v>732</v>
      </c>
    </row>
    <row r="32" spans="1:18">
      <c r="A32" s="168" t="s">
        <v>40</v>
      </c>
      <c r="B32" s="37">
        <f>IF( ISERROR(IND_voed_ele_kWh/1000),0,IND_voed_ele_kWh/1000)</f>
        <v>4827.9097170000005</v>
      </c>
      <c r="C32" s="39">
        <f>IF(ISERROR(B32*3.6/1000000/'E Balans VL '!Z20*100),0,B32*3.6/1000000/'E Balans VL '!Z20*100)</f>
        <v>0.14934916440636431</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301.41699999999997</v>
      </c>
      <c r="C35" s="39">
        <f>IF(ISERROR(B35*3.6/1000000/'E Balans VL '!Z22*100),0,B35*3.6/1000000/'E Balans VL '!Z22*100)</f>
        <v>5.4215514197906239E-2</v>
      </c>
      <c r="D35" s="233" t="s">
        <v>732</v>
      </c>
    </row>
    <row r="36" spans="1:5">
      <c r="A36" s="168" t="s">
        <v>33</v>
      </c>
      <c r="B36" s="37">
        <f>IF( ISERROR(IND_chemie_ele_kWh/1000),0,IND_chemie_ele_kWh/1000)</f>
        <v>178.13800000000001</v>
      </c>
      <c r="C36" s="39">
        <f>IF(ISERROR(B36*3.6/1000000/'E Balans VL '!Z24*100),0,B36*3.6/1000000/'E Balans VL '!Z24*100)</f>
        <v>5.4321446019085827E-3</v>
      </c>
      <c r="D36" s="233" t="s">
        <v>732</v>
      </c>
    </row>
    <row r="37" spans="1:5">
      <c r="A37" s="168" t="s">
        <v>264</v>
      </c>
      <c r="B37" s="37">
        <f>IF( ISERROR(IND_rest_ele_kWh/1000),0,IND_rest_ele_kWh/1000)</f>
        <v>324.036</v>
      </c>
      <c r="C37" s="39">
        <f>IF(ISERROR(B37*3.6/1000000/'E Balans VL '!Z15*100),0,B37*3.6/1000000/'E Balans VL '!Z15*100)</f>
        <v>2.5683832540553462E-3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9783.4557074118766</v>
      </c>
      <c r="C5" s="17">
        <f>'Eigen informatie GS &amp; warmtenet'!B60</f>
        <v>0</v>
      </c>
      <c r="D5" s="30">
        <f>IF(ISERROR(SUM(LB_lb_gas_kWh,LB_rest_gas_kWh)/1000),0,SUM(LB_lb_gas_kWh,LB_rest_gas_kWh)/1000)*0.902</f>
        <v>958.51481000000001</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480</v>
      </c>
      <c r="B6" s="17" t="s">
        <v>210</v>
      </c>
      <c r="C6" s="17">
        <f>'lokale energieproductie'!O40+'lokale energieproductie'!O33</f>
        <v>268.07142857142856</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-5396.1428571428569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9783.4557074118766</v>
      </c>
      <c r="C8" s="21">
        <f>C5+C6</f>
        <v>268.07142857142856</v>
      </c>
      <c r="D8" s="21">
        <f>MAX((D5+D6),0)</f>
        <v>958.51481000000001</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0.18903467986597369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1849.4124176335372</v>
      </c>
      <c r="C12" s="23">
        <f ca="1">C8*C10</f>
        <v>0</v>
      </c>
      <c r="D12" s="23">
        <f>D8*D10</f>
        <v>193.61999162000001</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1.3883030595379355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2109.7979654924852</v>
      </c>
      <c r="C26" s="243">
        <f>B26*'GWP N2O_CH4'!B5</f>
        <v>44305.757275342192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1109.6358264586995</v>
      </c>
      <c r="C27" s="243">
        <f>B27*'GWP N2O_CH4'!B5</f>
        <v>23302.352355632691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3">
        <f>B28*'GWP N2O_CH4'!B4</f>
        <v>9395.0511233637517</v>
      </c>
      <c r="D28" s="50"/>
    </row>
    <row r="29" spans="1:4">
      <c r="A29" s="41" t="s">
        <v>271</v>
      </c>
      <c r="B29" s="243">
        <f>B34*'ha_N2O bodem landbouw'!B4</f>
        <v>79.86052229389955</v>
      </c>
      <c r="C29" s="243">
        <f>B29*'GWP N2O_CH4'!B4</f>
        <v>24756.761911108861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1.8223895975864692E-2</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2.8734704791127545E-4</v>
      </c>
      <c r="C5" s="431" t="s">
        <v>210</v>
      </c>
      <c r="D5" s="416">
        <f>SUM(D6:D11)</f>
        <v>5.0129903478086804E-4</v>
      </c>
      <c r="E5" s="416">
        <f>SUM(E6:E11)</f>
        <v>8.7356154295984518E-4</v>
      </c>
      <c r="F5" s="429" t="s">
        <v>210</v>
      </c>
      <c r="G5" s="416">
        <f>SUM(G6:G11)</f>
        <v>0.38668140628537828</v>
      </c>
      <c r="H5" s="416">
        <f>SUM(H6:H11)</f>
        <v>8.0616391712250407E-2</v>
      </c>
      <c r="I5" s="431" t="s">
        <v>210</v>
      </c>
      <c r="J5" s="431" t="s">
        <v>210</v>
      </c>
      <c r="K5" s="431" t="s">
        <v>210</v>
      </c>
      <c r="L5" s="431" t="s">
        <v>210</v>
      </c>
      <c r="M5" s="416">
        <f>SUM(M6:M11)</f>
        <v>2.4965396942596824E-2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2.3060080560040485E-4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3.8768050520586196E-4</v>
      </c>
      <c r="E6" s="859">
        <f>vkm_GW_PW*SUMIFS(TableVerdeelsleutelVkm[LPG],TableVerdeelsleutelVkm[Voertuigtype],"Lichte voertuigen")*SUMIFS(TableECFTransport[EnergieConsumptieFactor (PJ per km)],TableECFTransport[Index],CONCATENATE($A6,"_LPG_LPG"))</f>
        <v>6.8212717009091405E-4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0.20238515636970722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6.2635059189073597E-2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1.3668469682657693E-2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3.8455321460470148E-6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0.12352010228149772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2.0153029403819056E-6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7.2167291546374763E-3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5.2707623131588004E-5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1.1361852957500606E-4</v>
      </c>
      <c r="E8" s="419">
        <f>vkm_NGW_PW*SUMIFS(TableVerdeelsleutelVkm[LPG],TableVerdeelsleutelVkm[Voertuigtype],"Lichte voertuigen")*SUMIFS(TableECFTransport[EnergieConsumptieFactor (PJ per km)],TableECFTransport[Index],CONCATENATE($A8,"_LPG_LPG"))</f>
        <v>1.9143437286893108E-4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5.2818524404551995E-2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1.7979195081492799E-2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3.6152698667440836E-3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1.930870332355759E-7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7.9576232296213641E-3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1.2213874363414636E-7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4.6492823855757092E-4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79.818624419798738</v>
      </c>
      <c r="C14" s="21"/>
      <c r="D14" s="21">
        <f t="shared" ref="D14:M14" si="0">((D5)*10^9/3600)+D12</f>
        <v>139.24973188357444</v>
      </c>
      <c r="E14" s="21">
        <f t="shared" si="0"/>
        <v>242.65598415551256</v>
      </c>
      <c r="F14" s="21"/>
      <c r="G14" s="21">
        <f t="shared" si="0"/>
        <v>107411.50174593841</v>
      </c>
      <c r="H14" s="21">
        <f t="shared" si="0"/>
        <v>22393.44214229178</v>
      </c>
      <c r="I14" s="21"/>
      <c r="J14" s="21"/>
      <c r="K14" s="21"/>
      <c r="L14" s="21"/>
      <c r="M14" s="21">
        <f t="shared" si="0"/>
        <v>6934.8324840546729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0.18903467986597369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15.088488114539045</v>
      </c>
      <c r="C18" s="23"/>
      <c r="D18" s="23">
        <f t="shared" ref="D18:M18" si="1">D14*D16</f>
        <v>28.128445840482041</v>
      </c>
      <c r="E18" s="23">
        <f t="shared" si="1"/>
        <v>55.082908403301353</v>
      </c>
      <c r="F18" s="23"/>
      <c r="G18" s="23">
        <f t="shared" si="1"/>
        <v>28678.870966165556</v>
      </c>
      <c r="H18" s="23">
        <f t="shared" si="1"/>
        <v>5575.9670934306532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7.0491787972230569E-5</v>
      </c>
      <c r="C50" s="313">
        <f t="shared" ref="C50:P50" si="2">SUM(C51:C52)</f>
        <v>0</v>
      </c>
      <c r="D50" s="313">
        <f t="shared" si="2"/>
        <v>0</v>
      </c>
      <c r="E50" s="313">
        <f t="shared" si="2"/>
        <v>0</v>
      </c>
      <c r="F50" s="313">
        <f t="shared" si="2"/>
        <v>0</v>
      </c>
      <c r="G50" s="313">
        <f t="shared" si="2"/>
        <v>6.6220037858234597E-3</v>
      </c>
      <c r="H50" s="313">
        <f t="shared" si="2"/>
        <v>0</v>
      </c>
      <c r="I50" s="313">
        <f t="shared" si="2"/>
        <v>0</v>
      </c>
      <c r="J50" s="313">
        <f t="shared" si="2"/>
        <v>0</v>
      </c>
      <c r="K50" s="313">
        <f t="shared" si="2"/>
        <v>0</v>
      </c>
      <c r="L50" s="313">
        <f t="shared" si="2"/>
        <v>0</v>
      </c>
      <c r="M50" s="313">
        <f t="shared" si="2"/>
        <v>3.8134131535308207E-4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7.0491787972230569E-5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6.6220037858234597E-3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3.8134131535308207E-4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19.581052214508489</v>
      </c>
      <c r="C54" s="21">
        <f t="shared" ref="C54:P54" si="3">(C50)*10^9/3600</f>
        <v>0</v>
      </c>
      <c r="D54" s="21">
        <f t="shared" si="3"/>
        <v>0</v>
      </c>
      <c r="E54" s="21">
        <f t="shared" si="3"/>
        <v>0</v>
      </c>
      <c r="F54" s="21">
        <f t="shared" si="3"/>
        <v>0</v>
      </c>
      <c r="G54" s="21">
        <f t="shared" si="3"/>
        <v>1839.4454960620722</v>
      </c>
      <c r="H54" s="21">
        <f t="shared" si="3"/>
        <v>0</v>
      </c>
      <c r="I54" s="21">
        <f t="shared" si="3"/>
        <v>0</v>
      </c>
      <c r="J54" s="21">
        <f t="shared" si="3"/>
        <v>0</v>
      </c>
      <c r="K54" s="21">
        <f t="shared" si="3"/>
        <v>0</v>
      </c>
      <c r="L54" s="21">
        <f t="shared" si="3"/>
        <v>0</v>
      </c>
      <c r="M54" s="21">
        <f t="shared" si="3"/>
        <v>105.92814315363391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0.18903467986597369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3.7014979368085275</v>
      </c>
      <c r="C58" s="23">
        <f t="shared" ref="C58:P58" ca="1" si="4">C54*C56</f>
        <v>0</v>
      </c>
      <c r="D58" s="23">
        <f t="shared" si="4"/>
        <v>0</v>
      </c>
      <c r="E58" s="23">
        <f t="shared" si="4"/>
        <v>0</v>
      </c>
      <c r="F58" s="23">
        <f t="shared" si="4"/>
        <v>0</v>
      </c>
      <c r="G58" s="23">
        <f t="shared" si="4"/>
        <v>491.13194744857327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2755.9170004074117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8302.3561192234774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187.64999999999998</v>
      </c>
      <c r="C8" s="538">
        <f>B49</f>
        <v>0</v>
      </c>
      <c r="D8" s="1004"/>
      <c r="E8" s="1004">
        <f>E49</f>
        <v>0</v>
      </c>
      <c r="F8" s="1005"/>
      <c r="G8" s="539"/>
      <c r="H8" s="1004">
        <f>I49</f>
        <v>0</v>
      </c>
      <c r="I8" s="1004">
        <f>G49+F49</f>
        <v>0</v>
      </c>
      <c r="J8" s="1004">
        <f>H49+D49+C49</f>
        <v>220.76470588235293</v>
      </c>
      <c r="K8" s="1004"/>
      <c r="L8" s="1004"/>
      <c r="M8" s="1004"/>
      <c r="N8" s="540"/>
      <c r="O8" s="541">
        <f>C8*$C$12+D8*$D$12+E8*$E$12+F8*$F$12+G8*$G$12+H8*$H$12+I8*$I$12+J8*$J$12</f>
        <v>0</v>
      </c>
      <c r="P8" s="1248"/>
      <c r="Q8" s="1249"/>
      <c r="S8" s="967"/>
      <c r="T8" s="1223"/>
      <c r="U8" s="1223"/>
    </row>
    <row r="9" spans="1:21" s="527" customFormat="1" ht="17.45" customHeight="1" thickBot="1">
      <c r="A9" s="542" t="s">
        <v>242</v>
      </c>
      <c r="B9" s="543">
        <f>N37+'Eigen informatie GS &amp; warmtenet'!B12</f>
        <v>1701</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12946.923119630888</v>
      </c>
      <c r="C10" s="551">
        <f t="shared" ref="C10:L10" si="0">SUM(C8:C9)</f>
        <v>0</v>
      </c>
      <c r="D10" s="551">
        <f t="shared" si="0"/>
        <v>0</v>
      </c>
      <c r="E10" s="551">
        <f t="shared" si="0"/>
        <v>0</v>
      </c>
      <c r="F10" s="551">
        <f t="shared" si="0"/>
        <v>0</v>
      </c>
      <c r="G10" s="551">
        <f t="shared" si="0"/>
        <v>0</v>
      </c>
      <c r="H10" s="551">
        <f t="shared" si="0"/>
        <v>0</v>
      </c>
      <c r="I10" s="551">
        <f t="shared" si="0"/>
        <v>0</v>
      </c>
      <c r="J10" s="551">
        <f t="shared" si="0"/>
        <v>5080.7647058823532</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268.07142857142856</v>
      </c>
      <c r="C17" s="563">
        <f>B50</f>
        <v>0</v>
      </c>
      <c r="D17" s="564"/>
      <c r="E17" s="564">
        <f>E50</f>
        <v>0</v>
      </c>
      <c r="F17" s="1010"/>
      <c r="G17" s="565"/>
      <c r="H17" s="563">
        <f>I50</f>
        <v>0</v>
      </c>
      <c r="I17" s="564">
        <f>G50+F50</f>
        <v>0</v>
      </c>
      <c r="J17" s="564">
        <f>H50+D50+C50</f>
        <v>315.37815126050418</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268.07142857142856</v>
      </c>
      <c r="C20" s="550">
        <f>SUM(C17:C19)</f>
        <v>0</v>
      </c>
      <c r="D20" s="550">
        <f t="shared" ref="D20:L20" si="1">SUM(D17:D19)</f>
        <v>0</v>
      </c>
      <c r="E20" s="550">
        <f t="shared" si="1"/>
        <v>0</v>
      </c>
      <c r="F20" s="550">
        <f t="shared" si="1"/>
        <v>0</v>
      </c>
      <c r="G20" s="550">
        <f t="shared" si="1"/>
        <v>0</v>
      </c>
      <c r="H20" s="550">
        <f t="shared" si="1"/>
        <v>0</v>
      </c>
      <c r="I20" s="550">
        <f t="shared" si="1"/>
        <v>0</v>
      </c>
      <c r="J20" s="550">
        <f t="shared" si="1"/>
        <v>315.37815126050418</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32003</v>
      </c>
      <c r="C28" s="764">
        <v>8600</v>
      </c>
      <c r="D28" s="621" t="s">
        <v>902</v>
      </c>
      <c r="E28" s="620" t="s">
        <v>903</v>
      </c>
      <c r="F28" s="620" t="s">
        <v>904</v>
      </c>
      <c r="G28" s="620" t="s">
        <v>905</v>
      </c>
      <c r="H28" s="620" t="s">
        <v>906</v>
      </c>
      <c r="I28" s="620" t="s">
        <v>907</v>
      </c>
      <c r="J28" s="763">
        <v>41117</v>
      </c>
      <c r="K28" s="763">
        <v>41244</v>
      </c>
      <c r="L28" s="620" t="s">
        <v>908</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74" customFormat="1" ht="25.5">
      <c r="A29" s="573"/>
      <c r="B29" s="764">
        <v>32003</v>
      </c>
      <c r="C29" s="764">
        <v>8600</v>
      </c>
      <c r="D29" s="621"/>
      <c r="E29" s="620"/>
      <c r="F29" s="620" t="s">
        <v>909</v>
      </c>
      <c r="G29" s="620" t="s">
        <v>905</v>
      </c>
      <c r="H29" s="620" t="s">
        <v>906</v>
      </c>
      <c r="I29" s="620" t="s">
        <v>910</v>
      </c>
      <c r="J29" s="763">
        <v>40882</v>
      </c>
      <c r="K29" s="763">
        <v>41250</v>
      </c>
      <c r="L29" s="620" t="s">
        <v>911</v>
      </c>
      <c r="M29" s="620">
        <v>32</v>
      </c>
      <c r="N29" s="620">
        <v>144</v>
      </c>
      <c r="O29" s="620">
        <v>205.71428571428572</v>
      </c>
      <c r="P29" s="620">
        <v>0</v>
      </c>
      <c r="Q29" s="620">
        <v>0</v>
      </c>
      <c r="R29" s="620">
        <v>0</v>
      </c>
      <c r="S29" s="620">
        <v>0</v>
      </c>
      <c r="T29" s="620">
        <v>0</v>
      </c>
      <c r="U29" s="620">
        <v>0</v>
      </c>
      <c r="V29" s="620">
        <v>411.42857142857144</v>
      </c>
      <c r="W29" s="620">
        <v>0</v>
      </c>
      <c r="X29" s="620">
        <v>10</v>
      </c>
      <c r="Y29" s="620" t="s">
        <v>912</v>
      </c>
      <c r="Z29" s="622" t="s">
        <v>111</v>
      </c>
    </row>
    <row r="30" spans="1:26" s="558" customFormat="1">
      <c r="A30" s="576" t="s">
        <v>274</v>
      </c>
      <c r="B30" s="577"/>
      <c r="C30" s="577"/>
      <c r="D30" s="577"/>
      <c r="E30" s="577"/>
      <c r="F30" s="577"/>
      <c r="G30" s="577"/>
      <c r="H30" s="577"/>
      <c r="I30" s="577"/>
      <c r="J30" s="577"/>
      <c r="K30" s="577"/>
      <c r="L30" s="578"/>
      <c r="M30" s="578">
        <f>SUM(M28:M29)</f>
        <v>41.7</v>
      </c>
      <c r="N30" s="578">
        <f>SUM(N28:N29)</f>
        <v>187.64999999999998</v>
      </c>
      <c r="O30" s="578">
        <f>SUM(O28:O29)</f>
        <v>268.07142857142856</v>
      </c>
      <c r="P30" s="578">
        <f>SUM(P28:P29)</f>
        <v>0</v>
      </c>
      <c r="Q30" s="578">
        <f>SUM(Q28:Q29)</f>
        <v>124.71428571428569</v>
      </c>
      <c r="R30" s="578">
        <f>SUM(R28:R29)</f>
        <v>0</v>
      </c>
      <c r="S30" s="578">
        <f>SUM(S28:S29)</f>
        <v>0</v>
      </c>
      <c r="T30" s="578">
        <f>SUM(T28:T29)</f>
        <v>0</v>
      </c>
      <c r="U30" s="578">
        <f>SUM(U28:U29)</f>
        <v>0</v>
      </c>
      <c r="V30" s="578">
        <f>SUM(V28:V29)</f>
        <v>411.42857142857144</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41.7</v>
      </c>
      <c r="N33" s="583">
        <f>SUMIF($Z$28:$Z$29,"landbouw",N28:N29)</f>
        <v>187.64999999999998</v>
      </c>
      <c r="O33" s="583">
        <f>SUMIF($Z$28:$Z$29,"landbouw",O28:O29)</f>
        <v>268.07142857142856</v>
      </c>
      <c r="P33" s="583">
        <f>SUMIF($Z$28:$Z$29,"landbouw",P28:P29)</f>
        <v>0</v>
      </c>
      <c r="Q33" s="583">
        <f>SUMIF($Z$28:$Z$29,"landbouw",Q28:Q29)</f>
        <v>124.71428571428569</v>
      </c>
      <c r="R33" s="583">
        <f>SUMIF($Z$28:$Z$29,"landbouw",R28:R29)</f>
        <v>0</v>
      </c>
      <c r="S33" s="583">
        <f>SUMIF($Z$28:$Z$29,"landbouw",S28:S29)</f>
        <v>0</v>
      </c>
      <c r="T33" s="583">
        <f>SUMIF($Z$28:$Z$29,"landbouw",T28:T29)</f>
        <v>0</v>
      </c>
      <c r="U33" s="583">
        <f>SUMIF($Z$28:$Z$29,"landbouw",U28:U29)</f>
        <v>0</v>
      </c>
      <c r="V33" s="583">
        <f>SUMIF($Z$28:$Z$29,"landbouw",V28:V29)</f>
        <v>411.42857142857144</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38.25">
      <c r="A36" s="575"/>
      <c r="B36" s="764">
        <v>32003</v>
      </c>
      <c r="C36" s="764">
        <v>8600</v>
      </c>
      <c r="D36" s="623" t="s">
        <v>913</v>
      </c>
      <c r="E36" s="623" t="s">
        <v>914</v>
      </c>
      <c r="F36" s="623" t="s">
        <v>915</v>
      </c>
      <c r="G36" s="623" t="s">
        <v>916</v>
      </c>
      <c r="H36" s="623" t="s">
        <v>917</v>
      </c>
      <c r="I36" s="623" t="s">
        <v>918</v>
      </c>
      <c r="J36" s="763">
        <v>39340</v>
      </c>
      <c r="K36" s="763">
        <v>40704</v>
      </c>
      <c r="L36" s="623" t="s">
        <v>908</v>
      </c>
      <c r="M36" s="623">
        <v>378</v>
      </c>
      <c r="N36" s="623">
        <v>1701</v>
      </c>
      <c r="O36" s="623">
        <v>0</v>
      </c>
      <c r="P36" s="623">
        <v>0</v>
      </c>
      <c r="Q36" s="623">
        <v>0</v>
      </c>
      <c r="R36" s="623">
        <v>0</v>
      </c>
      <c r="S36" s="623">
        <v>0</v>
      </c>
      <c r="T36" s="623">
        <v>0</v>
      </c>
      <c r="U36" s="623">
        <v>0</v>
      </c>
      <c r="V36" s="623">
        <v>4860</v>
      </c>
      <c r="W36" s="623">
        <v>0</v>
      </c>
      <c r="X36" s="623">
        <v>10</v>
      </c>
      <c r="Y36" s="623" t="s">
        <v>111</v>
      </c>
      <c r="Z36" s="624" t="s">
        <v>111</v>
      </c>
    </row>
    <row r="37" spans="1:27" s="558" customFormat="1">
      <c r="A37" s="576" t="s">
        <v>274</v>
      </c>
      <c r="B37" s="577"/>
      <c r="C37" s="577"/>
      <c r="D37" s="577"/>
      <c r="E37" s="577"/>
      <c r="F37" s="577"/>
      <c r="G37" s="577"/>
      <c r="H37" s="577"/>
      <c r="I37" s="577"/>
      <c r="J37" s="577"/>
      <c r="K37" s="577"/>
      <c r="L37" s="578"/>
      <c r="M37" s="578">
        <f>SUM(M36:M36)</f>
        <v>378</v>
      </c>
      <c r="N37" s="578">
        <f>SUM(N36:N36)</f>
        <v>1701</v>
      </c>
      <c r="O37" s="578">
        <f>SUM(O36:O36)</f>
        <v>0</v>
      </c>
      <c r="P37" s="578">
        <f>SUM(P36:P36)</f>
        <v>0</v>
      </c>
      <c r="Q37" s="578">
        <f>SUM(Q36:Q36)</f>
        <v>0</v>
      </c>
      <c r="R37" s="578">
        <f>SUM(R36:R36)</f>
        <v>0</v>
      </c>
      <c r="S37" s="578">
        <f>SUM(S36:S36)</f>
        <v>0</v>
      </c>
      <c r="T37" s="578">
        <f>SUM(T36:T36)</f>
        <v>0</v>
      </c>
      <c r="U37" s="578">
        <f>SUM(U36:U36)</f>
        <v>0</v>
      </c>
      <c r="V37" s="578">
        <f>SUM(V36:V36)</f>
        <v>4860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378</v>
      </c>
      <c r="N40" s="583">
        <f>SUMIF($Z$36:$Z$38,"landbouw",N36:N38)</f>
        <v>1701</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4860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0</v>
      </c>
      <c r="C49" s="612">
        <f t="shared" si="2"/>
        <v>51.35294117647058</v>
      </c>
      <c r="D49" s="612">
        <f t="shared" si="2"/>
        <v>0</v>
      </c>
      <c r="E49" s="612">
        <f t="shared" si="2"/>
        <v>0</v>
      </c>
      <c r="F49" s="612">
        <f t="shared" si="2"/>
        <v>0</v>
      </c>
      <c r="G49" s="612">
        <f t="shared" si="2"/>
        <v>0</v>
      </c>
      <c r="H49" s="612">
        <f t="shared" si="2"/>
        <v>169.41176470588235</v>
      </c>
      <c r="I49" s="613">
        <f t="shared" si="2"/>
        <v>0</v>
      </c>
      <c r="J49" s="570"/>
      <c r="K49" s="570"/>
      <c r="L49" s="608"/>
      <c r="M49" s="608"/>
      <c r="N49" s="608"/>
      <c r="O49" s="595"/>
      <c r="P49" s="595"/>
    </row>
    <row r="50" spans="1:16" ht="15.75" thickBot="1">
      <c r="A50" s="614" t="s">
        <v>280</v>
      </c>
      <c r="B50" s="615">
        <f t="shared" ref="B50:I50" si="3">$B$46*P30</f>
        <v>0</v>
      </c>
      <c r="C50" s="615">
        <f t="shared" si="3"/>
        <v>73.361344537815114</v>
      </c>
      <c r="D50" s="615">
        <f t="shared" si="3"/>
        <v>0</v>
      </c>
      <c r="E50" s="615">
        <f t="shared" si="3"/>
        <v>0</v>
      </c>
      <c r="F50" s="615">
        <f t="shared" si="3"/>
        <v>0</v>
      </c>
      <c r="G50" s="615">
        <f t="shared" si="3"/>
        <v>0</v>
      </c>
      <c r="H50" s="615">
        <f t="shared" si="3"/>
        <v>242.0168067226891</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2021-06-29T15:40:44Z</dcterms:modified>
</cp:coreProperties>
</file>