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E49" i="18" s="1"/>
  <c r="E17"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C49" i="18" l="1"/>
  <c r="O9" i="18"/>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<sst xmlns="http://schemas.openxmlformats.org/spreadsheetml/2006/main" count="2476" uniqueCount="902">
  <si>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</si>
  <si>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</si>
  <si>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</si>
  <si>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</si>
  <si>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</si>
  <si>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</si>
  <si>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</si>
  <si>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</si>
  <si>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</si>
  <si>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</si>
  <si>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</si>
  <si>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</si>
  <si>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</si>
  <si>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</si>
  <si>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</si>
  <si>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</si>
  <si>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</si>
  <si>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</si>
  <si>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</si>
  <si>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</si>
  <si>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</si>
  <si>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</si>
  <si>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</si>
  <si>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</si>
  <si>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</si>
  <si>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</si>
  <si>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</si>
  <si>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</si>
  <si>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</si>
  <si>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</si>
  <si>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</si>
  <si>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</si>
  <si>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</si>
  <si>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</si>
  <si>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</si>
  <si>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</si>
  <si>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</si>
  <si>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</si>
  <si>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</si>
  <si>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</si>
  <si>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</si>
  <si>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</si>
  <si>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</si>
  <si>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</si>
  <si>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</si>
  <si>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</si>
  <si>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</si>
  <si>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</si>
  <si>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</si>
  <si>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</si>
  <si>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</si>
  <si>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</si>
  <si>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</si>
  <si>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</si>
  <si>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</si>
  <si>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</si>
  <si>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</si>
  <si>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</si>
  <si>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</si>
  <si>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</si>
  <si>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</si>
  <si>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</si>
  <si>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</si>
  <si>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</si>
  <si>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</si>
  <si>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</si>
  <si>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</si>
  <si>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</si>
  <si>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</si>
  <si>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</si>
  <si>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</si>
  <si>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</si>
  <si>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</si>
  <si>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</si>
  <si>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</si>
  <si>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</si>
  <si>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</si>
  <si>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</si>
  <si>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</si>
  <si>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</si>
  <si>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</si>
  <si>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</si>
  <si>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</si>
  <si>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</si>
  <si>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</si>
  <si>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</si>
  <si>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</si>
  <si>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</si>
  <si>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</si>
  <si>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</si>
  <si>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</si>
  <si>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</si>
  <si>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</si>
  <si>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</si>
  <si>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</si>
  <si>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</si>
  <si>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</si>
  <si>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</si>
  <si>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</si>
  <si>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</si>
  <si>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</si>
  <si>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</si>
  <si>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</si>
  <si>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</si>
  <si>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</si>
  <si>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</si>
  <si>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</si>
  <si>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</si>
  <si>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</si>
  <si>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</si>
  <si>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</si>
  <si>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</si>
  <si>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</si>
  <si>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</si>
  <si>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</si>
  <si>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</si>
  <si>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</si>
  <si>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</si>
  <si>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</si>
  <si>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</si>
  <si>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</si>
  <si>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</si>
  <si>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</si>
  <si>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</si>
  <si>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</si>
  <si>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</si>
  <si>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</si>
  <si>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</si>
  <si>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</si>
  <si>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</si>
  <si>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</si>
  <si>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</si>
  <si>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</si>
  <si>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</si>
  <si>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</si>
  <si>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</si>
  <si>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</si>
  <si>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</si>
  <si>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</si>
  <si>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</si>
  <si>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</si>
  <si>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</si>
  <si>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</si>
  <si>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</si>
  <si>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</si>
  <si>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</si>
  <si>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</si>
  <si>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</si>
  <si>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</si>
  <si>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</si>
  <si>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</si>
  <si>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</si>
  <si>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</si>
  <si>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</si>
  <si>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</si>
  <si>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</si>
  <si>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</si>
  <si>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</si>
  <si>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</si>
  <si>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</si>
  <si>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</si>
  <si>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</si>
  <si>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</si>
  <si>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</si>
  <si>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</si>
  <si>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</si>
  <si>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</si>
  <si>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</si>
  <si>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</si>
  <si>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</si>
  <si>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</si>
  <si>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</si>
  <si>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</si>
  <si>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</si>
  <si>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</si>
  <si>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</si>
  <si>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</si>
  <si>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</si>
  <si>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</si>
  <si>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</si>
  <si>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</si>
  <si>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</si>
  <si>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</si>
  <si>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</si>
  <si>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</si>
  <si>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</si>
  <si>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</si>
  <si>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</si>
  <si>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</si>
  <si>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</si>
  <si>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</si>
  <si>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</si>
  <si>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</si>
  <si>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</si>
  <si>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</si>
  <si>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</si>
  <si>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</si>
  <si>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</si>
  <si>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</si>
  <si>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</si>
  <si>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</si>
  <si>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</si>
  <si>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</si>
  <si>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</si>
  <si>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</si>
  <si>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</si>
  <si>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</si>
  <si>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</si>
  <si>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</si>
  <si>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</si>
  <si>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</si>
  <si>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</si>
  <si>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</si>
  <si>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</si>
  <si>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</si>
  <si>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</si>
  <si>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</si>
  <si>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</si>
  <si>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</si>
  <si>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</si>
  <si>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</si>
  <si>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</si>
  <si>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</si>
  <si>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</si>
  <si>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</si>
  <si>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</si>
  <si>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</si>
  <si>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</si>
  <si>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</si>
  <si>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</si>
  <si>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</si>
  <si>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</si>
  <si>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</si>
  <si>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</si>
  <si>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</si>
  <si>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</si>
  <si>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</si>
  <si>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</si>
  <si>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</si>
  <si>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</si>
  <si>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</si>
  <si>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</si>
  <si>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</si>
  <si>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</si>
  <si>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</si>
  <si>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</si>
  <si>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</si>
  <si>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</si>
  <si>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</si>
  <si>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</si>
  <si>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</si>
  <si>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</si>
  <si>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</si>
  <si>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</si>
  <si>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</si>
  <si>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</si>
  <si>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</si>
  <si>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</si>
  <si>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</si>
  <si>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</si>
  <si>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</si>
  <si>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</si>
  <si>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</si>
  <si>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</si>
  <si>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</si>
  <si>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</si>
  <si>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</si>
  <si>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</si>
  <si>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</si>
  <si>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</si>
  <si>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</si>
  <si>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</si>
  <si>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</si>
  <si>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</si>
  <si>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</si>
  <si>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</si>
  <si>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</si>
  <si>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</si>
  <si>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</si>
  <si>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</si>
  <si>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</si>
  <si>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</si>
  <si>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</si>
  <si>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</si>
  <si>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</si>
  <si>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</si>
  <si>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</si>
  <si>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</si>
  <si>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</si>
  <si>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</si>
  <si>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</si>
  <si>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</si>
  <si>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</si>
  <si>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</si>
  <si>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</si>
  <si>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</si>
  <si>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</si>
  <si>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</si>
  <si>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</si>
  <si>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</si>
  <si>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</si>
  <si>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</si>
  <si>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</si>
  <si>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</si>
  <si>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</si>
  <si>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</si>
  <si>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</si>
  <si>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</si>
  <si>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</si>
  <si>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</si>
  <si>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</si>
  <si>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</si>
  <si>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</si>
  <si>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</si>
  <si>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</si>
  <si>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</si>
  <si>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</si>
  <si>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</si>
  <si>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</si>
  <si>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</si>
  <si>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</si>
  <si>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</si>
  <si>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</si>
  <si>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</si>
  <si>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</si>
  <si>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</si>
  <si>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</si>
  <si>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</si>
  <si>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</si>
  <si>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</si>
  <si>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</si>
  <si>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</si>
  <si>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</si>
  <si>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</si>
  <si>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</si>
  <si>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</si>
  <si>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</si>
  <si>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</si>
  <si>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</si>
  <si>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</si>
  <si>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</si>
  <si>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</si>
  <si>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</si>
  <si>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</si>
  <si>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</si>
  <si>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</si>
  <si>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</si>
  <si>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</si>
  <si>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</si>
  <si>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</si>
  <si>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</si>
  <si>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</si>
  <si>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</si>
  <si>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</si>
  <si>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</si>
  <si>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</si>
  <si>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</si>
  <si>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</si>
  <si>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</si>
  <si>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</si>
  <si>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</si>
  <si>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</si>
  <si>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</si>
  <si>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</si>
  <si>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</si>
  <si>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</si>
  <si>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</si>
  <si>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</si>
  <si>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</si>
  <si>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</si>
  <si>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</si>
  <si>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</si>
  <si>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</si>
  <si>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</si>
  <si>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</si>
  <si>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</si>
  <si>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</si>
  <si>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</si>
  <si>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</si>
  <si>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</si>
  <si>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</si>
  <si>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</si>
  <si>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</si>
  <si>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</si>
  <si>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</si>
  <si>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</si>
  <si>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</si>
  <si>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</si>
  <si>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</si>
  <si>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</si>
  <si>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</si>
  <si>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</si>
  <si>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</si>
  <si>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</si>
  <si>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</si>
  <si>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</si>
  <si>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</si>
  <si>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</si>
  <si>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</si>
  <si>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</si>
  <si>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</si>
  <si>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</si>
  <si>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</si>
  <si>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</si>
  <si>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</si>
  <si>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</si>
  <si>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</si>
  <si>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</si>
  <si>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</si>
  <si>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</si>
  <si>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</si>
  <si>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</si>
  <si>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</si>
  <si>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</si>
  <si>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</si>
  <si>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</si>
  <si>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</si>
  <si>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</si>
  <si>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</si>
  <si>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</si>
  <si>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</si>
  <si>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</si>
  <si>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</si>
  <si>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</si>
  <si>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</si>
  <si>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</si>
  <si>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</si>
  <si>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</si>
  <si>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</si>
  <si>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</si>
  <si>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</si>
  <si>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</si>
  <si>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</si>
  <si>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</si>
  <si>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</si>
  <si>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</si>
  <si>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</si>
  <si>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</si>
  <si>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</si>
  <si>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</si>
  <si>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</si>
  <si>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</si>
  <si>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</si>
  <si>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</si>
  <si>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</si>
  <si>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</si>
  <si>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</si>
  <si>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</si>
  <si>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</si>
  <si>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</si>
  <si>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</si>
  <si>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</si>
  <si>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</si>
  <si>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</si>
  <si>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</si>
  <si>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</si>
  <si>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</si>
  <si>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</si>
  <si>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</si>
  <si>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</si>
  <si>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</si>
  <si>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</si>
  <si>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</si>
  <si>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</si>
  <si>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</si>
  <si>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</si>
  <si>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</si>
  <si>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</si>
  <si>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</si>
  <si>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</si>
  <si>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</si>
  <si>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</si>
  <si>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</si>
  <si>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</si>
  <si>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</si>
  <si>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</si>
  <si>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</si>
  <si>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</si>
  <si>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</si>
  <si>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</si>
  <si>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</si>
  <si>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</si>
  <si>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</si>
  <si>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</si>
  <si>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</si>
  <si>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</si>
  <si>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</si>
  <si>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</si>
  <si>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</si>
  <si>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</si>
  <si>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</si>
  <si>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</si>
  <si>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</si>
  <si>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</si>
  <si>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</si>
  <si>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</si>
  <si>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</si>
  <si>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</si>
  <si>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</si>
  <si>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</si>
  <si>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</si>
  <si>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</si>
  <si>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</si>
  <si>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</si>
  <si>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</si>
  <si>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</si>
  <si>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</si>
  <si>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</si>
  <si>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</si>
  <si>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</si>
  <si>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</si>
  <si>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</si>
  <si>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</si>
  <si>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</si>
  <si>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</si>
  <si>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</si>
  <si>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</si>
  <si>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</si>
  <si>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</si>
  <si>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</si>
  <si>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</si>
  <si>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</si>
  <si>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</si>
  <si>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</si>
  <si>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</si>
  <si>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</si>
  <si>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</si>
  <si>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</si>
  <si>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</si>
  <si>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</si>
  <si>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</si>
  <si>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</si>
  <si>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</si>
  <si>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</si>
  <si>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</si>
  <si>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</si>
  <si>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</si>
  <si>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</si>
  <si>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</si>
  <si>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</si>
  <si>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</si>
  <si>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</si>
  <si>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</si>
  <si>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</si>
  <si>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</si>
  <si>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</si>
  <si>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</si>
  <si>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</si>
  <si>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</si>
  <si>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</si>
  <si>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</si>
  <si>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</si>
  <si>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</si>
  <si>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</si>
  <si>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</si>
  <si>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</si>
  <si>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</si>
  <si>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</si>
  <si>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</si>
  <si>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</si>
  <si>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</si>
  <si>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</si>
  <si>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</si>
  <si>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</si>
  <si>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</si>
  <si>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</si>
  <si>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</si>
  <si>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</si>
  <si>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</si>
  <si>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</si>
  <si>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</si>
  <si>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</si>
  <si>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</si>
  <si>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</si>
  <si>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</si>
  <si>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</si>
  <si>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</si>
  <si>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</si>
  <si>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</si>
  <si>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</si>
  <si>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</si>
  <si>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</si>
  <si>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</si>
  <si>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</si>
  <si>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</si>
  <si>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</si>
  <si>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</si>
  <si>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</si>
  <si>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</si>
  <si>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</si>
  <si>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</si>
  <si>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</si>
  <si>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</si>
  <si>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</si>
  <si>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</si>
  <si>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</si>
  <si>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</si>
  <si>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</si>
  <si>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</si>
  <si>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</si>
  <si>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</si>
  <si>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</si>
  <si>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</si>
  <si>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</si>
  <si>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</si>
  <si>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</si>
  <si>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</si>
  <si>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</si>
  <si>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</si>
  <si>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</si>
  <si>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</si>
  <si>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</si>
  <si>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</si>
  <si>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</si>
  <si>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</si>
  <si>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</si>
  <si>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</si>
  <si>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</si>
  <si>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</si>
  <si>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</si>
  <si>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</si>
  <si>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</si>
  <si>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</si>
  <si>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</si>
  <si>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</si>
  <si>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</si>
  <si>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</si>
  <si>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</si>
  <si>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</si>
  <si>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</si>
  <si>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</si>
  <si>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</si>
  <si>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</si>
  <si>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</si>
  <si>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</si>
  <si>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</si>
  <si>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</si>
  <si>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</si>
  <si>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</si>
  <si>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</si>
  <si>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</si>
  <si>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</si>
  <si>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</si>
  <si>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</si>
  <si>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</si>
  <si>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</si>
  <si>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</si>
  <si>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</si>
  <si>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</si>
  <si>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</si>
  <si>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</si>
  <si>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</si>
  <si>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</si>
  <si>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</si>
  <si>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</si>
  <si>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</si>
  <si>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</si>
  <si>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</si>
  <si>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</si>
  <si>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</si>
  <si>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</si>
  <si>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</si>
  <si>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</si>
  <si>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</si>
  <si>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</si>
  <si>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</si>
  <si>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</si>
  <si>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</si>
  <si>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</si>
  <si>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</si>
  <si>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</si>
  <si>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</si>
  <si>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</si>
  <si>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</si>
  <si>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</si>
  <si>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</si>
  <si>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</si>
  <si>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</si>
  <si>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</si>
  <si>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</si>
  <si>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</si>
  <si>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</si>
  <si>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</si>
  <si>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</si>
  <si>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</si>
  <si>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</si>
  <si>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</si>
  <si>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</si>
  <si>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</si>
  <si>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</si>
  <si>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</si>
  <si>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</si>
  <si>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</si>
  <si>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</si>
  <si>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</si>
  <si>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</si>
  <si>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</si>
  <si>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</si>
  <si>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</si>
  <si>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</si>
  <si>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</si>
  <si>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</si>
  <si>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</si>
  <si>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</si>
  <si>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</si>
  <si>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</si>
  <si>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</si>
  <si>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</si>
  <si>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</si>
  <si>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</si>
  <si>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</si>
  <si>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</si>
  <si>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</si>
  <si>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</si>
  <si>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</si>
  <si>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</si>
  <si>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</si>
  <si>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</si>
  <si>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</si>
  <si>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</si>
  <si>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</si>
  <si>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</si>
  <si>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</si>
  <si>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</si>
  <si>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</si>
  <si>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</si>
  <si>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</si>
  <si>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</si>
  <si>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</si>
  <si>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</si>
  <si>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</si>
  <si>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</si>
  <si>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</si>
  <si>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</si>
  <si>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</si>
  <si>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</si>
  <si>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</si>
  <si>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</si>
  <si>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</si>
  <si>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</si>
  <si>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</si>
  <si>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</si>
  <si>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</si>
  <si>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</si>
  <si>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</si>
  <si>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</si>
  <si>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</si>
  <si>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</si>
  <si>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</si>
  <si>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</si>
  <si>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</si>
  <si>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</si>
  <si>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</si>
  <si>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</si>
  <si>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</si>
  <si>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</si>
  <si>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</si>
  <si>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</si>
  <si>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</si>
  <si>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</si>
  <si>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</si>
  <si>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</si>
  <si>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</si>
  <si>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</si>
  <si>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</si>
  <si>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</si>
  <si>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</si>
  <si>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</si>
  <si>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</si>
  <si>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</si>
  <si>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</si>
  <si>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</si>
  <si>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</si>
  <si>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</si>
  <si>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</si>
  <si>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</si>
  <si>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</si>
  <si>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</si>
  <si>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</si>
  <si>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</si>
  <si>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</si>
  <si>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</si>
  <si>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</si>
  <si>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</si>
  <si>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</si>
  <si>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</si>
  <si>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</si>
  <si>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</si>
  <si>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</si>
  <si>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</si>
  <si>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</si>
  <si>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</si>
  <si>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</si>
  <si>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</si>
  <si>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</si>
  <si>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</si>
  <si>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</si>
  <si>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</si>
  <si>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</si>
  <si>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</si>
  <si>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</si>
  <si>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</si>
  <si>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</si>
  <si>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</si>
  <si>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</si>
  <si>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</si>
  <si>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</si>
  <si>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</si>
  <si>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</si>
  <si>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</si>
  <si>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</si>
  <si>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</si>
  <si>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</si>
  <si>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</si>
  <si>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</si>
  <si>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</si>
  <si>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</si>
  <si>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</si>
  <si>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</si>
  <si>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</si>
  <si>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</si>
  <si>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</si>
  <si>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</si>
  <si>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</si>
  <si>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</si>
  <si>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</si>
  <si>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</si>
  <si>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</si>
  <si>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</si>
  <si>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</si>
  <si>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</si>
  <si>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</si>
  <si>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</si>
  <si>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</si>
  <si>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</si>
  <si>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</si>
  <si>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</si>
  <si>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</si>
  <si>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</si>
  <si>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</si>
  <si>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</si>
  <si>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</si>
  <si>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</si>
  <si>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</si>
  <si>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</si>
  <si>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</si>
  <si>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</si>
  <si>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</si>
  <si>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</si>
  <si>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</si>
  <si>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</si>
  <si>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</si>
  <si>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</si>
  <si>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</si>
  <si>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</si>
  <si>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</si>
  <si>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</si>
  <si>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</si>
  <si>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</si>
  <si>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</si>
  <si>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</si>
  <si>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</si>
  <si>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</si>
  <si>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</si>
  <si>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</si>
  <si>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</si>
  <si>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</si>
  <si>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</si>
  <si>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</si>
  <si>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</si>
  <si>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</si>
  <si>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</si>
  <si>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</si>
  <si>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</si>
  <si>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</si>
  <si>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</si>
  <si>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</si>
  <si>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</si>
  <si>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</si>
  <si>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</si>
  <si>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</si>
  <si>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</si>
  <si>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</si>
  <si>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</si>
  <si>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</si>
  <si>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</si>
  <si>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</si>
  <si>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</si>
  <si>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</si>
  <si>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</si>
  <si>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</si>
  <si>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</si>
  <si>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</si>
  <si>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</si>
  <si>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</si>
  <si>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</si>
  <si>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</si>
  <si>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</si>
  <si>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24137</t>
  </si>
  <si>
    <t>GLABBEEK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</si>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</sst>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45985.702308531407</c:v>
                </c:pt>
                <c:pt idx="1">
                  <c:v>8726.3016160219649</c:v>
                </c:pt>
                <c:pt idx="2">
                  <c:v>452.947</c:v>
                </c:pt>
                <c:pt idx="3">
                  <c:v>13456.426196995959</c:v>
                </c:pt>
                <c:pt idx="4">
                  <c:v>1440.3413448002027</c:v>
                </c:pt>
                <c:pt idx="5">
                  <c:v>47694.370701226777</c:v>
                </c:pt>
                <c:pt idx="6">
                  <c:v>537.03415710704405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45985.702308531407</c:v>
                </c:pt>
                <c:pt idx="1">
                  <c:v>8726.3016160219649</c:v>
                </c:pt>
                <c:pt idx="2">
                  <c:v>452.947</c:v>
                </c:pt>
                <c:pt idx="3">
                  <c:v>13456.426196995959</c:v>
                </c:pt>
                <c:pt idx="4">
                  <c:v>1440.3413448002027</c:v>
                </c:pt>
                <c:pt idx="5">
                  <c:v>47694.370701226777</c:v>
                </c:pt>
                <c:pt idx="6">
                  <c:v>537.03415710704405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9816.4422307585428</c:v>
                </c:pt>
                <c:pt idx="2">
                  <c:v>1688.51320316551</c:v>
                </c:pt>
                <c:pt idx="3">
                  <c:v>83.038873948943376</c:v>
                </c:pt>
                <c:pt idx="4">
                  <c:v>3404.4433982731007</c:v>
                </c:pt>
                <c:pt idx="5">
                  <c:v>286.66406643864343</c:v>
                </c:pt>
                <c:pt idx="6">
                  <c:v>11946.782920048578</c:v>
                </c:pt>
                <c:pt idx="7">
                  <c:v>135.21048453399004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9816.4422307585428</c:v>
                </c:pt>
                <c:pt idx="2">
                  <c:v>1688.51320316551</c:v>
                </c:pt>
                <c:pt idx="3">
                  <c:v>83.038873948943376</c:v>
                </c:pt>
                <c:pt idx="4">
                  <c:v>3404.4433982731007</c:v>
                </c:pt>
                <c:pt idx="5">
                  <c:v>286.66406643864343</c:v>
                </c:pt>
                <c:pt idx="6">
                  <c:v>11946.782920048578</c:v>
                </c:pt>
                <c:pt idx="7">
                  <c:v>135.21048453399004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24137</v>
      </c>
      <c r="B6" s="384"/>
      <c r="C6" s="385"/>
    </row>
    <row r="7" spans="1:7" s="382" customFormat="1" ht="15.75" customHeight="1">
      <c r="A7" s="386" t="str">
        <f>txtMunicipality</f>
        <v>GLABBEEK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5838.1360380000006</v>
      </c>
      <c r="D10" s="973">
        <f ca="1">tertiair!C16</f>
        <v>0</v>
      </c>
      <c r="E10" s="973">
        <f ca="1">tertiair!D16</f>
        <v>2012.3228532000001</v>
      </c>
      <c r="F10" s="973">
        <f>tertiair!E16</f>
        <v>138.89556905633629</v>
      </c>
      <c r="G10" s="973">
        <f ca="1">tertiair!F16</f>
        <v>985.86159773179816</v>
      </c>
      <c r="H10" s="973">
        <f>tertiair!G16</f>
        <v>0</v>
      </c>
      <c r="I10" s="973">
        <f>tertiair!H16</f>
        <v>0</v>
      </c>
      <c r="J10" s="973">
        <f>tertiair!I16</f>
        <v>0</v>
      </c>
      <c r="K10" s="973">
        <f>tertiair!J16</f>
        <v>4.9309919242680562E-3</v>
      </c>
      <c r="L10" s="973">
        <f>tertiair!K16</f>
        <v>0</v>
      </c>
      <c r="M10" s="973">
        <f ca="1">tertiair!L16</f>
        <v>0</v>
      </c>
      <c r="N10" s="973">
        <f>tertiair!M16</f>
        <v>0</v>
      </c>
      <c r="O10" s="973">
        <f ca="1">tertiair!N16</f>
        <v>202.4642937085726</v>
      </c>
      <c r="P10" s="973">
        <f>tertiair!O16</f>
        <v>1.5633333333333335</v>
      </c>
      <c r="Q10" s="974">
        <f>tertiair!P16</f>
        <v>0</v>
      </c>
      <c r="R10" s="668">
        <f ca="1">SUM(C10:Q10)</f>
        <v>9179.2486160219651</v>
      </c>
      <c r="S10" s="67"/>
    </row>
    <row r="11" spans="1:19" s="441" customFormat="1">
      <c r="A11" s="777" t="s">
        <v>219</v>
      </c>
      <c r="B11" s="782"/>
      <c r="C11" s="973">
        <f>huishoudens!B8</f>
        <v>9267.395736462764</v>
      </c>
      <c r="D11" s="973">
        <f>huishoudens!C8</f>
        <v>0</v>
      </c>
      <c r="E11" s="973">
        <f>huishoudens!D8</f>
        <v>8145.0997781999995</v>
      </c>
      <c r="F11" s="973">
        <f>huishoudens!E8</f>
        <v>920.02525384516991</v>
      </c>
      <c r="G11" s="973">
        <f>huishoudens!F8</f>
        <v>23309.315901729904</v>
      </c>
      <c r="H11" s="973">
        <f>huishoudens!G8</f>
        <v>0</v>
      </c>
      <c r="I11" s="973">
        <f>huishoudens!H8</f>
        <v>0</v>
      </c>
      <c r="J11" s="973">
        <f>huishoudens!I8</f>
        <v>0</v>
      </c>
      <c r="K11" s="973">
        <f>huishoudens!J8</f>
        <v>112.16181301894203</v>
      </c>
      <c r="L11" s="973">
        <f>huishoudens!K8</f>
        <v>0</v>
      </c>
      <c r="M11" s="973">
        <f>huishoudens!L8</f>
        <v>0</v>
      </c>
      <c r="N11" s="973">
        <f>huishoudens!M8</f>
        <v>0</v>
      </c>
      <c r="O11" s="973">
        <f>huishoudens!N8</f>
        <v>3422.7504919412872</v>
      </c>
      <c r="P11" s="973">
        <f>huishoudens!O8</f>
        <v>84.42</v>
      </c>
      <c r="Q11" s="974">
        <f>huishoudens!P8</f>
        <v>724.5333333333333</v>
      </c>
      <c r="R11" s="668">
        <f>SUM(C11:Q11)</f>
        <v>45985.702308531407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808.14369299999987</v>
      </c>
      <c r="D13" s="973">
        <f>industrie!C18</f>
        <v>0</v>
      </c>
      <c r="E13" s="973">
        <f>industrie!D18</f>
        <v>187.19206000000003</v>
      </c>
      <c r="F13" s="973">
        <f>industrie!E18</f>
        <v>96.616008608296127</v>
      </c>
      <c r="G13" s="973">
        <f>industrie!F18</f>
        <v>294.97072011411751</v>
      </c>
      <c r="H13" s="973">
        <f>industrie!G18</f>
        <v>0</v>
      </c>
      <c r="I13" s="973">
        <f>industrie!H18</f>
        <v>0</v>
      </c>
      <c r="J13" s="973">
        <f>industrie!I18</f>
        <v>0</v>
      </c>
      <c r="K13" s="973">
        <f>industrie!J18</f>
        <v>1.4383203958781999E-2</v>
      </c>
      <c r="L13" s="973">
        <f>industrie!K18</f>
        <v>0</v>
      </c>
      <c r="M13" s="973">
        <f>industrie!L18</f>
        <v>0</v>
      </c>
      <c r="N13" s="973">
        <f>industrie!M18</f>
        <v>0</v>
      </c>
      <c r="O13" s="973">
        <f>industrie!N18</f>
        <v>53.404479873830518</v>
      </c>
      <c r="P13" s="973">
        <f>industrie!O18</f>
        <v>0</v>
      </c>
      <c r="Q13" s="974">
        <f>industrie!P18</f>
        <v>0</v>
      </c>
      <c r="R13" s="668">
        <f>SUM(C13:Q13)</f>
        <v>1440.3413448002027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15913.675467462765</v>
      </c>
      <c r="D16" s="700">
        <f t="shared" ref="D16:R16" ca="1" si="0">SUM(D9:D15)</f>
        <v>0</v>
      </c>
      <c r="E16" s="700">
        <f t="shared" ca="1" si="0"/>
        <v>10344.614691399998</v>
      </c>
      <c r="F16" s="700">
        <f t="shared" si="0"/>
        <v>1155.5368315098024</v>
      </c>
      <c r="G16" s="700">
        <f t="shared" ca="1" si="0"/>
        <v>24590.148219575818</v>
      </c>
      <c r="H16" s="700">
        <f t="shared" si="0"/>
        <v>0</v>
      </c>
      <c r="I16" s="700">
        <f t="shared" si="0"/>
        <v>0</v>
      </c>
      <c r="J16" s="700">
        <f t="shared" si="0"/>
        <v>0</v>
      </c>
      <c r="K16" s="700">
        <f t="shared" si="0"/>
        <v>112.18112721482508</v>
      </c>
      <c r="L16" s="700">
        <f t="shared" si="0"/>
        <v>0</v>
      </c>
      <c r="M16" s="700">
        <f t="shared" ca="1" si="0"/>
        <v>0</v>
      </c>
      <c r="N16" s="700">
        <f t="shared" si="0"/>
        <v>0</v>
      </c>
      <c r="O16" s="700">
        <f t="shared" ca="1" si="0"/>
        <v>3678.6192655236905</v>
      </c>
      <c r="P16" s="700">
        <f t="shared" si="0"/>
        <v>85.983333333333334</v>
      </c>
      <c r="Q16" s="700">
        <f t="shared" si="0"/>
        <v>724.5333333333333</v>
      </c>
      <c r="R16" s="700">
        <f t="shared" ca="1" si="0"/>
        <v>56605.292269353573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5.3516215499267412</v>
      </c>
      <c r="D19" s="973">
        <f>transport!C54</f>
        <v>0</v>
      </c>
      <c r="E19" s="973">
        <f>transport!D54</f>
        <v>0</v>
      </c>
      <c r="F19" s="973">
        <f>transport!E54</f>
        <v>0</v>
      </c>
      <c r="G19" s="973">
        <f>transport!F54</f>
        <v>0</v>
      </c>
      <c r="H19" s="973">
        <f>transport!G54</f>
        <v>502.73172497582078</v>
      </c>
      <c r="I19" s="973">
        <f>transport!H54</f>
        <v>0</v>
      </c>
      <c r="J19" s="973">
        <f>transport!I54</f>
        <v>0</v>
      </c>
      <c r="K19" s="973">
        <f>transport!J54</f>
        <v>0</v>
      </c>
      <c r="L19" s="973">
        <f>transport!K54</f>
        <v>0</v>
      </c>
      <c r="M19" s="973">
        <f>transport!L54</f>
        <v>0</v>
      </c>
      <c r="N19" s="973">
        <f>transport!M54</f>
        <v>28.950810581296516</v>
      </c>
      <c r="O19" s="973">
        <f>transport!N54</f>
        <v>0</v>
      </c>
      <c r="P19" s="973">
        <f>transport!O54</f>
        <v>0</v>
      </c>
      <c r="Q19" s="974">
        <f>transport!P54</f>
        <v>0</v>
      </c>
      <c r="R19" s="668">
        <f>SUM(C19:Q19)</f>
        <v>537.03415710704405</v>
      </c>
      <c r="S19" s="67"/>
    </row>
    <row r="20" spans="1:19" s="441" customFormat="1">
      <c r="A20" s="777" t="s">
        <v>301</v>
      </c>
      <c r="B20" s="782"/>
      <c r="C20" s="973">
        <f>transport!B14</f>
        <v>25.153446917038348</v>
      </c>
      <c r="D20" s="973">
        <f>transport!C14</f>
        <v>0</v>
      </c>
      <c r="E20" s="973">
        <f>transport!D14</f>
        <v>45.94332379742729</v>
      </c>
      <c r="F20" s="973">
        <f>transport!E14</f>
        <v>79.336685882850958</v>
      </c>
      <c r="G20" s="973">
        <f>transport!F14</f>
        <v>0</v>
      </c>
      <c r="H20" s="973">
        <f>transport!G14</f>
        <v>37764.75382850843</v>
      </c>
      <c r="I20" s="973">
        <f>transport!H14</f>
        <v>7356.1939025436723</v>
      </c>
      <c r="J20" s="973">
        <f>transport!I14</f>
        <v>0</v>
      </c>
      <c r="K20" s="973">
        <f>transport!J14</f>
        <v>0</v>
      </c>
      <c r="L20" s="973">
        <f>transport!K14</f>
        <v>0</v>
      </c>
      <c r="M20" s="973">
        <f>transport!L14</f>
        <v>0</v>
      </c>
      <c r="N20" s="973">
        <f>transport!M14</f>
        <v>2422.9895135773563</v>
      </c>
      <c r="O20" s="973">
        <f>transport!N14</f>
        <v>0</v>
      </c>
      <c r="P20" s="973">
        <f>transport!O14</f>
        <v>0</v>
      </c>
      <c r="Q20" s="974">
        <f>transport!P14</f>
        <v>0</v>
      </c>
      <c r="R20" s="668">
        <f>SUM(C20:Q20)</f>
        <v>47694.370701226777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30.505068466965088</v>
      </c>
      <c r="D22" s="780">
        <f t="shared" ref="D22:R22" si="1">SUM(D18:D21)</f>
        <v>0</v>
      </c>
      <c r="E22" s="780">
        <f t="shared" si="1"/>
        <v>45.94332379742729</v>
      </c>
      <c r="F22" s="780">
        <f t="shared" si="1"/>
        <v>79.336685882850958</v>
      </c>
      <c r="G22" s="780">
        <f t="shared" si="1"/>
        <v>0</v>
      </c>
      <c r="H22" s="780">
        <f t="shared" si="1"/>
        <v>38267.48555348425</v>
      </c>
      <c r="I22" s="780">
        <f t="shared" si="1"/>
        <v>7356.1939025436723</v>
      </c>
      <c r="J22" s="780">
        <f t="shared" si="1"/>
        <v>0</v>
      </c>
      <c r="K22" s="780">
        <f t="shared" si="1"/>
        <v>0</v>
      </c>
      <c r="L22" s="780">
        <f t="shared" si="1"/>
        <v>0</v>
      </c>
      <c r="M22" s="780">
        <f t="shared" si="1"/>
        <v>0</v>
      </c>
      <c r="N22" s="780">
        <f t="shared" si="1"/>
        <v>2451.9403241586529</v>
      </c>
      <c r="O22" s="780">
        <f t="shared" si="1"/>
        <v>0</v>
      </c>
      <c r="P22" s="780">
        <f t="shared" si="1"/>
        <v>0</v>
      </c>
      <c r="Q22" s="780">
        <f t="shared" si="1"/>
        <v>0</v>
      </c>
      <c r="R22" s="780">
        <f t="shared" si="1"/>
        <v>48231.404858333823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2496.5897999999997</v>
      </c>
      <c r="D24" s="973">
        <f>+landbouw!C8</f>
        <v>0</v>
      </c>
      <c r="E24" s="973">
        <f>+landbouw!D8</f>
        <v>124.093552</v>
      </c>
      <c r="F24" s="973">
        <f>+landbouw!E8</f>
        <v>73.382399687391853</v>
      </c>
      <c r="G24" s="973">
        <f>+landbouw!F8</f>
        <v>10400.658198168247</v>
      </c>
      <c r="H24" s="973">
        <f>+landbouw!G8</f>
        <v>0</v>
      </c>
      <c r="I24" s="973">
        <f>+landbouw!H8</f>
        <v>0</v>
      </c>
      <c r="J24" s="973">
        <f>+landbouw!I8</f>
        <v>0</v>
      </c>
      <c r="K24" s="973">
        <f>+landbouw!J8</f>
        <v>361.70224714032156</v>
      </c>
      <c r="L24" s="973">
        <f>+landbouw!K8</f>
        <v>0</v>
      </c>
      <c r="M24" s="973">
        <f>+landbouw!L8</f>
        <v>0</v>
      </c>
      <c r="N24" s="973">
        <f>+landbouw!M8</f>
        <v>0</v>
      </c>
      <c r="O24" s="973">
        <f>+landbouw!N8</f>
        <v>0</v>
      </c>
      <c r="P24" s="973">
        <f>+landbouw!O8</f>
        <v>0</v>
      </c>
      <c r="Q24" s="974">
        <f>+landbouw!P8</f>
        <v>0</v>
      </c>
      <c r="R24" s="668">
        <f>SUM(C24:Q24)</f>
        <v>13456.426196995959</v>
      </c>
      <c r="S24" s="67"/>
    </row>
    <row r="25" spans="1:19" s="441" customFormat="1" ht="15" thickBot="1">
      <c r="A25" s="799" t="s">
        <v>808</v>
      </c>
      <c r="B25" s="976"/>
      <c r="C25" s="977">
        <f>IF(Onbekend_ele_kWh="---",0,Onbekend_ele_kWh)/1000+IF(REST_rest_ele_kWh="---",0,REST_rest_ele_kWh)/1000</f>
        <v>225.39170000000001</v>
      </c>
      <c r="D25" s="977"/>
      <c r="E25" s="977">
        <f>IF(onbekend_gas_kWh="---",0,onbekend_gas_kWh)/1000+IF(REST_rest_gas_kWh="---",0,REST_rest_gas_kWh)/1000</f>
        <v>372.12400000000002</v>
      </c>
      <c r="F25" s="977"/>
      <c r="G25" s="977"/>
      <c r="H25" s="977"/>
      <c r="I25" s="977"/>
      <c r="J25" s="977"/>
      <c r="K25" s="977"/>
      <c r="L25" s="977"/>
      <c r="M25" s="977"/>
      <c r="N25" s="977"/>
      <c r="O25" s="977"/>
      <c r="P25" s="977"/>
      <c r="Q25" s="978"/>
      <c r="R25" s="668">
        <f>SUM(C25:Q25)</f>
        <v>597.51570000000004</v>
      </c>
      <c r="S25" s="67"/>
    </row>
    <row r="26" spans="1:19" s="441" customFormat="1" ht="15.75" thickBot="1">
      <c r="A26" s="673" t="s">
        <v>809</v>
      </c>
      <c r="B26" s="785"/>
      <c r="C26" s="780">
        <f>SUM(C24:C25)</f>
        <v>2721.9814999999999</v>
      </c>
      <c r="D26" s="780">
        <f t="shared" ref="D26:R26" si="2">SUM(D24:D25)</f>
        <v>0</v>
      </c>
      <c r="E26" s="780">
        <f t="shared" si="2"/>
        <v>496.21755200000001</v>
      </c>
      <c r="F26" s="780">
        <f t="shared" si="2"/>
        <v>73.382399687391853</v>
      </c>
      <c r="G26" s="780">
        <f t="shared" si="2"/>
        <v>10400.658198168247</v>
      </c>
      <c r="H26" s="780">
        <f t="shared" si="2"/>
        <v>0</v>
      </c>
      <c r="I26" s="780">
        <f t="shared" si="2"/>
        <v>0</v>
      </c>
      <c r="J26" s="780">
        <f t="shared" si="2"/>
        <v>0</v>
      </c>
      <c r="K26" s="780">
        <f t="shared" si="2"/>
        <v>361.70224714032156</v>
      </c>
      <c r="L26" s="780">
        <f t="shared" si="2"/>
        <v>0</v>
      </c>
      <c r="M26" s="780">
        <f t="shared" si="2"/>
        <v>0</v>
      </c>
      <c r="N26" s="780">
        <f t="shared" si="2"/>
        <v>0</v>
      </c>
      <c r="O26" s="780">
        <f t="shared" si="2"/>
        <v>0</v>
      </c>
      <c r="P26" s="780">
        <f t="shared" si="2"/>
        <v>0</v>
      </c>
      <c r="Q26" s="780">
        <f t="shared" si="2"/>
        <v>0</v>
      </c>
      <c r="R26" s="780">
        <f t="shared" si="2"/>
        <v>14053.941896995959</v>
      </c>
      <c r="S26" s="67"/>
    </row>
    <row r="27" spans="1:19" s="441" customFormat="1" ht="17.25" thickTop="1" thickBot="1">
      <c r="A27" s="674" t="s">
        <v>115</v>
      </c>
      <c r="B27" s="773"/>
      <c r="C27" s="675">
        <f ca="1">C22+C16+C26</f>
        <v>18666.16203592973</v>
      </c>
      <c r="D27" s="675">
        <f t="shared" ref="D27:R27" ca="1" si="3">D22+D16+D26</f>
        <v>0</v>
      </c>
      <c r="E27" s="675">
        <f t="shared" ca="1" si="3"/>
        <v>10886.775567197426</v>
      </c>
      <c r="F27" s="675">
        <f t="shared" si="3"/>
        <v>1308.2559170800453</v>
      </c>
      <c r="G27" s="675">
        <f t="shared" ca="1" si="3"/>
        <v>34990.806417744068</v>
      </c>
      <c r="H27" s="675">
        <f t="shared" si="3"/>
        <v>38267.48555348425</v>
      </c>
      <c r="I27" s="675">
        <f t="shared" si="3"/>
        <v>7356.1939025436723</v>
      </c>
      <c r="J27" s="675">
        <f t="shared" si="3"/>
        <v>0</v>
      </c>
      <c r="K27" s="675">
        <f t="shared" si="3"/>
        <v>473.88337435514666</v>
      </c>
      <c r="L27" s="675">
        <f t="shared" si="3"/>
        <v>0</v>
      </c>
      <c r="M27" s="675">
        <f t="shared" ca="1" si="3"/>
        <v>0</v>
      </c>
      <c r="N27" s="675">
        <f t="shared" si="3"/>
        <v>2451.9403241586529</v>
      </c>
      <c r="O27" s="675">
        <f t="shared" ca="1" si="3"/>
        <v>3678.6192655236905</v>
      </c>
      <c r="P27" s="675">
        <f t="shared" si="3"/>
        <v>85.983333333333334</v>
      </c>
      <c r="Q27" s="675">
        <f t="shared" si="3"/>
        <v>724.5333333333333</v>
      </c>
      <c r="R27" s="675">
        <f t="shared" ca="1" si="3"/>
        <v>118890.63902468336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1070.3067744267337</v>
      </c>
      <c r="D40" s="973">
        <f ca="1">tertiair!C20</f>
        <v>0</v>
      </c>
      <c r="E40" s="973">
        <f ca="1">tertiair!D20</f>
        <v>406.48921634640004</v>
      </c>
      <c r="F40" s="973">
        <f>tertiair!E20</f>
        <v>31.529294175788337</v>
      </c>
      <c r="G40" s="973">
        <f ca="1">tertiair!F20</f>
        <v>263.22504659439011</v>
      </c>
      <c r="H40" s="973">
        <f>tertiair!G20</f>
        <v>0</v>
      </c>
      <c r="I40" s="973">
        <f>tertiair!H20</f>
        <v>0</v>
      </c>
      <c r="J40" s="973">
        <f>tertiair!I20</f>
        <v>0</v>
      </c>
      <c r="K40" s="973">
        <f>tertiair!J20</f>
        <v>1.7455711411908919E-3</v>
      </c>
      <c r="L40" s="973">
        <f>tertiair!K20</f>
        <v>0</v>
      </c>
      <c r="M40" s="973">
        <f ca="1">tertiair!L20</f>
        <v>0</v>
      </c>
      <c r="N40" s="973">
        <f>tertiair!M20</f>
        <v>0</v>
      </c>
      <c r="O40" s="973">
        <f ca="1">tertiair!N20</f>
        <v>0</v>
      </c>
      <c r="P40" s="973">
        <f>tertiair!O20</f>
        <v>0</v>
      </c>
      <c r="Q40" s="742">
        <f>tertiair!P20</f>
        <v>0</v>
      </c>
      <c r="R40" s="818">
        <f t="shared" ca="1" si="4"/>
        <v>1771.5520771144534</v>
      </c>
    </row>
    <row r="41" spans="1:18">
      <c r="A41" s="790" t="s">
        <v>219</v>
      </c>
      <c r="B41" s="797"/>
      <c r="C41" s="973">
        <f ca="1">huishoudens!B12</f>
        <v>1698.9937153687004</v>
      </c>
      <c r="D41" s="973">
        <f ca="1">huishoudens!C12</f>
        <v>0</v>
      </c>
      <c r="E41" s="973">
        <f>huishoudens!D12</f>
        <v>1645.3101551964</v>
      </c>
      <c r="F41" s="973">
        <f>huishoudens!E12</f>
        <v>208.84573262285357</v>
      </c>
      <c r="G41" s="973">
        <f>huishoudens!F12</f>
        <v>6223.5873457618845</v>
      </c>
      <c r="H41" s="973">
        <f>huishoudens!G12</f>
        <v>0</v>
      </c>
      <c r="I41" s="973">
        <f>huishoudens!H12</f>
        <v>0</v>
      </c>
      <c r="J41" s="973">
        <f>huishoudens!I12</f>
        <v>0</v>
      </c>
      <c r="K41" s="973">
        <f>huishoudens!J12</f>
        <v>39.705281808705479</v>
      </c>
      <c r="L41" s="973">
        <f>huishoudens!K12</f>
        <v>0</v>
      </c>
      <c r="M41" s="973">
        <f>huishoudens!L12</f>
        <v>0</v>
      </c>
      <c r="N41" s="973">
        <f>huishoudens!M12</f>
        <v>0</v>
      </c>
      <c r="O41" s="973">
        <f>huishoudens!N12</f>
        <v>0</v>
      </c>
      <c r="P41" s="973">
        <f>huishoudens!O12</f>
        <v>0</v>
      </c>
      <c r="Q41" s="742">
        <f>huishoudens!P12</f>
        <v>0</v>
      </c>
      <c r="R41" s="818">
        <f t="shared" ca="1" si="4"/>
        <v>9816.4422307585428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148.15716243988939</v>
      </c>
      <c r="D43" s="973">
        <f ca="1">industrie!C22</f>
        <v>0</v>
      </c>
      <c r="E43" s="973">
        <f>industrie!D22</f>
        <v>37.812796120000009</v>
      </c>
      <c r="F43" s="973">
        <f>industrie!E22</f>
        <v>21.931833954083221</v>
      </c>
      <c r="G43" s="973">
        <f>industrie!F22</f>
        <v>78.757182270469386</v>
      </c>
      <c r="H43" s="973">
        <f>industrie!G22</f>
        <v>0</v>
      </c>
      <c r="I43" s="973">
        <f>industrie!H22</f>
        <v>0</v>
      </c>
      <c r="J43" s="973">
        <f>industrie!I22</f>
        <v>0</v>
      </c>
      <c r="K43" s="973">
        <f>industrie!J22</f>
        <v>5.0916542014088273E-3</v>
      </c>
      <c r="L43" s="973">
        <f>industrie!K22</f>
        <v>0</v>
      </c>
      <c r="M43" s="973">
        <f>industrie!L22</f>
        <v>0</v>
      </c>
      <c r="N43" s="973">
        <f>industrie!M22</f>
        <v>0</v>
      </c>
      <c r="O43" s="973">
        <f>industrie!N22</f>
        <v>0</v>
      </c>
      <c r="P43" s="973">
        <f>industrie!O22</f>
        <v>0</v>
      </c>
      <c r="Q43" s="742">
        <f>industrie!P22</f>
        <v>0</v>
      </c>
      <c r="R43" s="817">
        <f t="shared" ca="1" si="4"/>
        <v>286.66406643864343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2917.4576522353236</v>
      </c>
      <c r="D46" s="700">
        <f t="shared" ref="D46:Q46" ca="1" si="5">SUM(D39:D45)</f>
        <v>0</v>
      </c>
      <c r="E46" s="700">
        <f t="shared" ca="1" si="5"/>
        <v>2089.6121676627999</v>
      </c>
      <c r="F46" s="700">
        <f t="shared" si="5"/>
        <v>262.30686075272513</v>
      </c>
      <c r="G46" s="700">
        <f t="shared" ca="1" si="5"/>
        <v>6565.5695746267438</v>
      </c>
      <c r="H46" s="700">
        <f t="shared" si="5"/>
        <v>0</v>
      </c>
      <c r="I46" s="700">
        <f t="shared" si="5"/>
        <v>0</v>
      </c>
      <c r="J46" s="700">
        <f t="shared" si="5"/>
        <v>0</v>
      </c>
      <c r="K46" s="700">
        <f t="shared" si="5"/>
        <v>39.712119034048079</v>
      </c>
      <c r="L46" s="700">
        <f t="shared" si="5"/>
        <v>0</v>
      </c>
      <c r="M46" s="700">
        <f t="shared" ca="1" si="5"/>
        <v>0</v>
      </c>
      <c r="N46" s="700">
        <f t="shared" si="5"/>
        <v>0</v>
      </c>
      <c r="O46" s="700">
        <f t="shared" ca="1" si="5"/>
        <v>0</v>
      </c>
      <c r="P46" s="700">
        <f t="shared" si="5"/>
        <v>0</v>
      </c>
      <c r="Q46" s="700">
        <f t="shared" si="5"/>
        <v>0</v>
      </c>
      <c r="R46" s="700">
        <f ca="1">SUM(R39:R45)</f>
        <v>11874.658374311639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0.98111396544588148</v>
      </c>
      <c r="D49" s="973">
        <f ca="1">transport!C58</f>
        <v>0</v>
      </c>
      <c r="E49" s="973">
        <f>transport!D58</f>
        <v>0</v>
      </c>
      <c r="F49" s="973">
        <f>transport!E58</f>
        <v>0</v>
      </c>
      <c r="G49" s="973">
        <f>transport!F58</f>
        <v>0</v>
      </c>
      <c r="H49" s="973">
        <f>transport!G58</f>
        <v>134.22937056854417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135.21048453399004</v>
      </c>
    </row>
    <row r="50" spans="1:18">
      <c r="A50" s="793" t="s">
        <v>301</v>
      </c>
      <c r="B50" s="803"/>
      <c r="C50" s="671">
        <f ca="1">transport!B18</f>
        <v>4.611387000963437</v>
      </c>
      <c r="D50" s="671">
        <f>transport!C18</f>
        <v>0</v>
      </c>
      <c r="E50" s="671">
        <f>transport!D18</f>
        <v>9.2805514070803135</v>
      </c>
      <c r="F50" s="671">
        <f>transport!E18</f>
        <v>18.009427695407169</v>
      </c>
      <c r="G50" s="671">
        <f>transport!F18</f>
        <v>0</v>
      </c>
      <c r="H50" s="671">
        <f>transport!G18</f>
        <v>10083.189272211752</v>
      </c>
      <c r="I50" s="671">
        <f>transport!H18</f>
        <v>1831.6922817333743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11946.782920048578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5.5925009664093182</v>
      </c>
      <c r="D52" s="700">
        <f t="shared" ref="D52:Q52" ca="1" si="6">SUM(D48:D51)</f>
        <v>0</v>
      </c>
      <c r="E52" s="700">
        <f t="shared" si="6"/>
        <v>9.2805514070803135</v>
      </c>
      <c r="F52" s="700">
        <f t="shared" si="6"/>
        <v>18.009427695407169</v>
      </c>
      <c r="G52" s="700">
        <f t="shared" si="6"/>
        <v>0</v>
      </c>
      <c r="H52" s="700">
        <f t="shared" si="6"/>
        <v>10217.418642780296</v>
      </c>
      <c r="I52" s="700">
        <f t="shared" si="6"/>
        <v>1831.6922817333743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12081.993404582568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457.7003616414674</v>
      </c>
      <c r="D54" s="671">
        <f ca="1">+landbouw!C12</f>
        <v>0</v>
      </c>
      <c r="E54" s="671">
        <f>+landbouw!D12</f>
        <v>25.066897504000003</v>
      </c>
      <c r="F54" s="671">
        <f>+landbouw!E12</f>
        <v>16.657804729037952</v>
      </c>
      <c r="G54" s="671">
        <f>+landbouw!F12</f>
        <v>2776.9757389109218</v>
      </c>
      <c r="H54" s="671">
        <f>+landbouw!G12</f>
        <v>0</v>
      </c>
      <c r="I54" s="671">
        <f>+landbouw!H12</f>
        <v>0</v>
      </c>
      <c r="J54" s="671">
        <f>+landbouw!I12</f>
        <v>0</v>
      </c>
      <c r="K54" s="671">
        <f>+landbouw!J12</f>
        <v>128.04259548767382</v>
      </c>
      <c r="L54" s="671">
        <f>+landbouw!K12</f>
        <v>0</v>
      </c>
      <c r="M54" s="671">
        <f>+landbouw!L12</f>
        <v>0</v>
      </c>
      <c r="N54" s="671">
        <f>+landbouw!M12</f>
        <v>0</v>
      </c>
      <c r="O54" s="671">
        <f>+landbouw!N12</f>
        <v>0</v>
      </c>
      <c r="P54" s="671">
        <f>+landbouw!O12</f>
        <v>0</v>
      </c>
      <c r="Q54" s="672">
        <f>+landbouw!P12</f>
        <v>0</v>
      </c>
      <c r="R54" s="699">
        <f ca="1">SUM(C54:Q54)</f>
        <v>3404.4433982731007</v>
      </c>
    </row>
    <row r="55" spans="1:18" ht="15" thickBot="1">
      <c r="A55" s="793" t="s">
        <v>808</v>
      </c>
      <c r="B55" s="803"/>
      <c r="C55" s="671">
        <f ca="1">C25*'EF ele_warmte'!B12</f>
        <v>41.321110340587445</v>
      </c>
      <c r="D55" s="671"/>
      <c r="E55" s="671">
        <f>E25*EF_CO2_aardgas</f>
        <v>75.169048000000004</v>
      </c>
      <c r="F55" s="671"/>
      <c r="G55" s="671"/>
      <c r="H55" s="671"/>
      <c r="I55" s="671"/>
      <c r="J55" s="671"/>
      <c r="K55" s="671"/>
      <c r="L55" s="671"/>
      <c r="M55" s="671"/>
      <c r="N55" s="671"/>
      <c r="O55" s="671"/>
      <c r="P55" s="671"/>
      <c r="Q55" s="672"/>
      <c r="R55" s="699">
        <f ca="1">SUM(C55:Q55)</f>
        <v>116.49015834058744</v>
      </c>
    </row>
    <row r="56" spans="1:18" ht="15.75" thickBot="1">
      <c r="A56" s="791" t="s">
        <v>809</v>
      </c>
      <c r="B56" s="804"/>
      <c r="C56" s="700">
        <f ca="1">SUM(C54:C55)</f>
        <v>499.02147198205483</v>
      </c>
      <c r="D56" s="700">
        <f t="shared" ref="D56:Q56" ca="1" si="7">SUM(D54:D55)</f>
        <v>0</v>
      </c>
      <c r="E56" s="700">
        <f t="shared" si="7"/>
        <v>100.235945504</v>
      </c>
      <c r="F56" s="700">
        <f t="shared" si="7"/>
        <v>16.657804729037952</v>
      </c>
      <c r="G56" s="700">
        <f t="shared" si="7"/>
        <v>2776.9757389109218</v>
      </c>
      <c r="H56" s="700">
        <f t="shared" si="7"/>
        <v>0</v>
      </c>
      <c r="I56" s="700">
        <f t="shared" si="7"/>
        <v>0</v>
      </c>
      <c r="J56" s="700">
        <f t="shared" si="7"/>
        <v>0</v>
      </c>
      <c r="K56" s="700">
        <f t="shared" si="7"/>
        <v>128.04259548767382</v>
      </c>
      <c r="L56" s="700">
        <f t="shared" si="7"/>
        <v>0</v>
      </c>
      <c r="M56" s="700">
        <f t="shared" si="7"/>
        <v>0</v>
      </c>
      <c r="N56" s="700">
        <f t="shared" si="7"/>
        <v>0</v>
      </c>
      <c r="O56" s="700">
        <f t="shared" si="7"/>
        <v>0</v>
      </c>
      <c r="P56" s="700">
        <f t="shared" si="7"/>
        <v>0</v>
      </c>
      <c r="Q56" s="701">
        <f t="shared" si="7"/>
        <v>0</v>
      </c>
      <c r="R56" s="702">
        <f ca="1">SUM(R54:R55)</f>
        <v>3520.9335566136883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3422.0716251837875</v>
      </c>
      <c r="D61" s="708">
        <f t="shared" ref="D61:Q61" ca="1" si="8">D46+D52+D56</f>
        <v>0</v>
      </c>
      <c r="E61" s="708">
        <f t="shared" ca="1" si="8"/>
        <v>2199.1286645738801</v>
      </c>
      <c r="F61" s="708">
        <f t="shared" si="8"/>
        <v>296.97409317717023</v>
      </c>
      <c r="G61" s="708">
        <f t="shared" ca="1" si="8"/>
        <v>9342.5453135376665</v>
      </c>
      <c r="H61" s="708">
        <f t="shared" si="8"/>
        <v>10217.418642780296</v>
      </c>
      <c r="I61" s="708">
        <f t="shared" si="8"/>
        <v>1831.6922817333743</v>
      </c>
      <c r="J61" s="708">
        <f t="shared" si="8"/>
        <v>0</v>
      </c>
      <c r="K61" s="708">
        <f t="shared" si="8"/>
        <v>167.75471452172189</v>
      </c>
      <c r="L61" s="708">
        <f t="shared" si="8"/>
        <v>0</v>
      </c>
      <c r="M61" s="708">
        <f t="shared" ca="1" si="8"/>
        <v>0</v>
      </c>
      <c r="N61" s="708">
        <f t="shared" si="8"/>
        <v>0</v>
      </c>
      <c r="O61" s="708">
        <f t="shared" ca="1" si="8"/>
        <v>0</v>
      </c>
      <c r="P61" s="708">
        <f t="shared" si="8"/>
        <v>0</v>
      </c>
      <c r="Q61" s="708">
        <f t="shared" si="8"/>
        <v>0</v>
      </c>
      <c r="R61" s="708">
        <f ca="1">R46+R52+R56</f>
        <v>27477.585335507894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0.18333022174546551</v>
      </c>
      <c r="D63" s="749">
        <f t="shared" ca="1" si="9"/>
        <v>0</v>
      </c>
      <c r="E63" s="984">
        <f t="shared" ca="1" si="9"/>
        <v>0.20199999999999999</v>
      </c>
      <c r="F63" s="749">
        <f t="shared" si="9"/>
        <v>0.22699999999999998</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3181.6750441478853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3181.6750441478853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9267.395736462764</v>
      </c>
      <c r="C4" s="445">
        <f>huishoudens!C8</f>
        <v>0</v>
      </c>
      <c r="D4" s="445">
        <f>huishoudens!D8</f>
        <v>8145.0997781999995</v>
      </c>
      <c r="E4" s="445">
        <f>huishoudens!E8</f>
        <v>920.02525384516991</v>
      </c>
      <c r="F4" s="445">
        <f>huishoudens!F8</f>
        <v>23309.315901729904</v>
      </c>
      <c r="G4" s="445">
        <f>huishoudens!G8</f>
        <v>0</v>
      </c>
      <c r="H4" s="445">
        <f>huishoudens!H8</f>
        <v>0</v>
      </c>
      <c r="I4" s="445">
        <f>huishoudens!I8</f>
        <v>0</v>
      </c>
      <c r="J4" s="445">
        <f>huishoudens!J8</f>
        <v>112.16181301894203</v>
      </c>
      <c r="K4" s="445">
        <f>huishoudens!K8</f>
        <v>0</v>
      </c>
      <c r="L4" s="445">
        <f>huishoudens!L8</f>
        <v>0</v>
      </c>
      <c r="M4" s="445">
        <f>huishoudens!M8</f>
        <v>0</v>
      </c>
      <c r="N4" s="445">
        <f>huishoudens!N8</f>
        <v>3422.7504919412872</v>
      </c>
      <c r="O4" s="445">
        <f>huishoudens!O8</f>
        <v>84.42</v>
      </c>
      <c r="P4" s="446">
        <f>huishoudens!P8</f>
        <v>724.5333333333333</v>
      </c>
      <c r="Q4" s="447">
        <f>SUM(B4:P4)</f>
        <v>45985.702308531407</v>
      </c>
    </row>
    <row r="5" spans="1:17">
      <c r="A5" s="444" t="s">
        <v>155</v>
      </c>
      <c r="B5" s="445">
        <f ca="1">tertiair!B16</f>
        <v>5385.1890380000004</v>
      </c>
      <c r="C5" s="445">
        <f ca="1">tertiair!C16</f>
        <v>0</v>
      </c>
      <c r="D5" s="445">
        <f ca="1">tertiair!D16</f>
        <v>2012.3228532000001</v>
      </c>
      <c r="E5" s="445">
        <f>tertiair!E16</f>
        <v>138.89556905633629</v>
      </c>
      <c r="F5" s="445">
        <f ca="1">tertiair!F16</f>
        <v>985.86159773179816</v>
      </c>
      <c r="G5" s="445">
        <f>tertiair!G16</f>
        <v>0</v>
      </c>
      <c r="H5" s="445">
        <f>tertiair!H16</f>
        <v>0</v>
      </c>
      <c r="I5" s="445">
        <f>tertiair!I16</f>
        <v>0</v>
      </c>
      <c r="J5" s="445">
        <f>tertiair!J16</f>
        <v>4.9309919242680562E-3</v>
      </c>
      <c r="K5" s="445">
        <f>tertiair!K16</f>
        <v>0</v>
      </c>
      <c r="L5" s="445">
        <f ca="1">tertiair!L16</f>
        <v>0</v>
      </c>
      <c r="M5" s="445">
        <f>tertiair!M16</f>
        <v>0</v>
      </c>
      <c r="N5" s="445">
        <f ca="1">tertiair!N16</f>
        <v>202.4642937085726</v>
      </c>
      <c r="O5" s="445">
        <f>tertiair!O16</f>
        <v>1.5633333333333335</v>
      </c>
      <c r="P5" s="446">
        <f>tertiair!P16</f>
        <v>0</v>
      </c>
      <c r="Q5" s="444">
        <f t="shared" ref="Q5:Q14" ca="1" si="0">SUM(B5:P5)</f>
        <v>8726.3016160219649</v>
      </c>
    </row>
    <row r="6" spans="1:17">
      <c r="A6" s="444" t="s">
        <v>193</v>
      </c>
      <c r="B6" s="445">
        <f>'openbare verlichting'!B8</f>
        <v>452.947</v>
      </c>
      <c r="C6" s="445"/>
      <c r="D6" s="445"/>
      <c r="E6" s="445"/>
      <c r="F6" s="445"/>
      <c r="G6" s="445"/>
      <c r="H6" s="445"/>
      <c r="I6" s="445"/>
      <c r="J6" s="445"/>
      <c r="K6" s="445"/>
      <c r="L6" s="445"/>
      <c r="M6" s="445"/>
      <c r="N6" s="445"/>
      <c r="O6" s="445"/>
      <c r="P6" s="446"/>
      <c r="Q6" s="444">
        <f t="shared" si="0"/>
        <v>452.947</v>
      </c>
    </row>
    <row r="7" spans="1:17">
      <c r="A7" s="444" t="s">
        <v>111</v>
      </c>
      <c r="B7" s="445">
        <f>landbouw!B8</f>
        <v>2496.5897999999997</v>
      </c>
      <c r="C7" s="445">
        <f>landbouw!C8</f>
        <v>0</v>
      </c>
      <c r="D7" s="445">
        <f>landbouw!D8</f>
        <v>124.093552</v>
      </c>
      <c r="E7" s="445">
        <f>landbouw!E8</f>
        <v>73.382399687391853</v>
      </c>
      <c r="F7" s="445">
        <f>landbouw!F8</f>
        <v>10400.658198168247</v>
      </c>
      <c r="G7" s="445">
        <f>landbouw!G8</f>
        <v>0</v>
      </c>
      <c r="H7" s="445">
        <f>landbouw!H8</f>
        <v>0</v>
      </c>
      <c r="I7" s="445">
        <f>landbouw!I8</f>
        <v>0</v>
      </c>
      <c r="J7" s="445">
        <f>landbouw!J8</f>
        <v>361.70224714032156</v>
      </c>
      <c r="K7" s="445">
        <f>landbouw!K8</f>
        <v>0</v>
      </c>
      <c r="L7" s="445">
        <f>landbouw!L8</f>
        <v>0</v>
      </c>
      <c r="M7" s="445">
        <f>landbouw!M8</f>
        <v>0</v>
      </c>
      <c r="N7" s="445">
        <f>landbouw!N8</f>
        <v>0</v>
      </c>
      <c r="O7" s="445">
        <f>landbouw!O8</f>
        <v>0</v>
      </c>
      <c r="P7" s="446">
        <f>landbouw!P8</f>
        <v>0</v>
      </c>
      <c r="Q7" s="444">
        <f t="shared" si="0"/>
        <v>13456.426196995959</v>
      </c>
    </row>
    <row r="8" spans="1:17">
      <c r="A8" s="444" t="s">
        <v>627</v>
      </c>
      <c r="B8" s="445">
        <f>industrie!B18</f>
        <v>808.14369299999987</v>
      </c>
      <c r="C8" s="445">
        <f>industrie!C18</f>
        <v>0</v>
      </c>
      <c r="D8" s="445">
        <f>industrie!D18</f>
        <v>187.19206000000003</v>
      </c>
      <c r="E8" s="445">
        <f>industrie!E18</f>
        <v>96.616008608296127</v>
      </c>
      <c r="F8" s="445">
        <f>industrie!F18</f>
        <v>294.97072011411751</v>
      </c>
      <c r="G8" s="445">
        <f>industrie!G18</f>
        <v>0</v>
      </c>
      <c r="H8" s="445">
        <f>industrie!H18</f>
        <v>0</v>
      </c>
      <c r="I8" s="445">
        <f>industrie!I18</f>
        <v>0</v>
      </c>
      <c r="J8" s="445">
        <f>industrie!J18</f>
        <v>1.4383203958781999E-2</v>
      </c>
      <c r="K8" s="445">
        <f>industrie!K18</f>
        <v>0</v>
      </c>
      <c r="L8" s="445">
        <f>industrie!L18</f>
        <v>0</v>
      </c>
      <c r="M8" s="445">
        <f>industrie!M18</f>
        <v>0</v>
      </c>
      <c r="N8" s="445">
        <f>industrie!N18</f>
        <v>53.404479873830518</v>
      </c>
      <c r="O8" s="445">
        <f>industrie!O18</f>
        <v>0</v>
      </c>
      <c r="P8" s="446">
        <f>industrie!P18</f>
        <v>0</v>
      </c>
      <c r="Q8" s="444">
        <f t="shared" si="0"/>
        <v>1440.3413448002027</v>
      </c>
    </row>
    <row r="9" spans="1:17" s="450" customFormat="1">
      <c r="A9" s="448" t="s">
        <v>553</v>
      </c>
      <c r="B9" s="449">
        <f>transport!B14</f>
        <v>25.153446917038348</v>
      </c>
      <c r="C9" s="449">
        <f>transport!C14</f>
        <v>0</v>
      </c>
      <c r="D9" s="449">
        <f>transport!D14</f>
        <v>45.94332379742729</v>
      </c>
      <c r="E9" s="449">
        <f>transport!E14</f>
        <v>79.336685882850958</v>
      </c>
      <c r="F9" s="449">
        <f>transport!F14</f>
        <v>0</v>
      </c>
      <c r="G9" s="449">
        <f>transport!G14</f>
        <v>37764.75382850843</v>
      </c>
      <c r="H9" s="449">
        <f>transport!H14</f>
        <v>7356.1939025436723</v>
      </c>
      <c r="I9" s="449">
        <f>transport!I14</f>
        <v>0</v>
      </c>
      <c r="J9" s="449">
        <f>transport!J14</f>
        <v>0</v>
      </c>
      <c r="K9" s="449">
        <f>transport!K14</f>
        <v>0</v>
      </c>
      <c r="L9" s="449">
        <f>transport!L14</f>
        <v>0</v>
      </c>
      <c r="M9" s="449">
        <f>transport!M14</f>
        <v>2422.9895135773563</v>
      </c>
      <c r="N9" s="449">
        <f>transport!N14</f>
        <v>0</v>
      </c>
      <c r="O9" s="449">
        <f>transport!O14</f>
        <v>0</v>
      </c>
      <c r="P9" s="449">
        <f>transport!P14</f>
        <v>0</v>
      </c>
      <c r="Q9" s="448">
        <f>SUM(B9:P9)</f>
        <v>47694.370701226777</v>
      </c>
    </row>
    <row r="10" spans="1:17">
      <c r="A10" s="444" t="s">
        <v>543</v>
      </c>
      <c r="B10" s="445">
        <f>transport!B54</f>
        <v>5.3516215499267412</v>
      </c>
      <c r="C10" s="445">
        <f>transport!C54</f>
        <v>0</v>
      </c>
      <c r="D10" s="445">
        <f>transport!D54</f>
        <v>0</v>
      </c>
      <c r="E10" s="445">
        <f>transport!E54</f>
        <v>0</v>
      </c>
      <c r="F10" s="445">
        <f>transport!F54</f>
        <v>0</v>
      </c>
      <c r="G10" s="445">
        <f>transport!G54</f>
        <v>502.73172497582078</v>
      </c>
      <c r="H10" s="445">
        <f>transport!H54</f>
        <v>0</v>
      </c>
      <c r="I10" s="445">
        <f>transport!I54</f>
        <v>0</v>
      </c>
      <c r="J10" s="445">
        <f>transport!J54</f>
        <v>0</v>
      </c>
      <c r="K10" s="445">
        <f>transport!K54</f>
        <v>0</v>
      </c>
      <c r="L10" s="445">
        <f>transport!L54</f>
        <v>0</v>
      </c>
      <c r="M10" s="445">
        <f>transport!M54</f>
        <v>28.950810581296516</v>
      </c>
      <c r="N10" s="445">
        <f>transport!N54</f>
        <v>0</v>
      </c>
      <c r="O10" s="445">
        <f>transport!O54</f>
        <v>0</v>
      </c>
      <c r="P10" s="446">
        <f>transport!P54</f>
        <v>0</v>
      </c>
      <c r="Q10" s="444">
        <f t="shared" si="0"/>
        <v>537.03415710704405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225.39170000000001</v>
      </c>
      <c r="C14" s="452"/>
      <c r="D14" s="452">
        <f>'SEAP template'!E25</f>
        <v>372.12400000000002</v>
      </c>
      <c r="E14" s="452"/>
      <c r="F14" s="452"/>
      <c r="G14" s="452"/>
      <c r="H14" s="452"/>
      <c r="I14" s="452"/>
      <c r="J14" s="452"/>
      <c r="K14" s="452"/>
      <c r="L14" s="452"/>
      <c r="M14" s="452"/>
      <c r="N14" s="452"/>
      <c r="O14" s="452"/>
      <c r="P14" s="453"/>
      <c r="Q14" s="444">
        <f t="shared" si="0"/>
        <v>597.51570000000004</v>
      </c>
    </row>
    <row r="15" spans="1:17" s="454" customFormat="1">
      <c r="A15" s="999" t="s">
        <v>547</v>
      </c>
      <c r="B15" s="947">
        <f ca="1">SUM(B4:B14)</f>
        <v>18666.162035929727</v>
      </c>
      <c r="C15" s="947">
        <f t="shared" ref="C15:Q15" ca="1" si="1">SUM(C4:C14)</f>
        <v>0</v>
      </c>
      <c r="D15" s="947">
        <f t="shared" ca="1" si="1"/>
        <v>10886.775567197426</v>
      </c>
      <c r="E15" s="947">
        <f t="shared" si="1"/>
        <v>1308.2559170800453</v>
      </c>
      <c r="F15" s="947">
        <f t="shared" ca="1" si="1"/>
        <v>34990.806417744068</v>
      </c>
      <c r="G15" s="947">
        <f t="shared" si="1"/>
        <v>38267.48555348425</v>
      </c>
      <c r="H15" s="947">
        <f t="shared" si="1"/>
        <v>7356.1939025436723</v>
      </c>
      <c r="I15" s="947">
        <f t="shared" si="1"/>
        <v>0</v>
      </c>
      <c r="J15" s="947">
        <f t="shared" si="1"/>
        <v>473.88337435514666</v>
      </c>
      <c r="K15" s="947">
        <f t="shared" si="1"/>
        <v>0</v>
      </c>
      <c r="L15" s="947">
        <f t="shared" ca="1" si="1"/>
        <v>0</v>
      </c>
      <c r="M15" s="947">
        <f t="shared" si="1"/>
        <v>2451.9403241586529</v>
      </c>
      <c r="N15" s="947">
        <f t="shared" ca="1" si="1"/>
        <v>3678.6192655236905</v>
      </c>
      <c r="O15" s="947">
        <f t="shared" si="1"/>
        <v>85.983333333333334</v>
      </c>
      <c r="P15" s="947">
        <f t="shared" si="1"/>
        <v>724.5333333333333</v>
      </c>
      <c r="Q15" s="947">
        <f t="shared" ca="1" si="1"/>
        <v>118890.63902468336</v>
      </c>
    </row>
    <row r="17" spans="1:17">
      <c r="A17" s="455" t="s">
        <v>548</v>
      </c>
      <c r="B17" s="754">
        <f ca="1">huishoudens!B10</f>
        <v>0.18333022174546554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1698.9937153687004</v>
      </c>
      <c r="C22" s="445">
        <f t="shared" ref="C22:C32" ca="1" si="3">C4*$C$17</f>
        <v>0</v>
      </c>
      <c r="D22" s="445">
        <f t="shared" ref="D22:D32" si="4">D4*$D$17</f>
        <v>1645.3101551964</v>
      </c>
      <c r="E22" s="445">
        <f t="shared" ref="E22:E32" si="5">E4*$E$17</f>
        <v>208.84573262285357</v>
      </c>
      <c r="F22" s="445">
        <f t="shared" ref="F22:F32" si="6">F4*$F$17</f>
        <v>6223.5873457618845</v>
      </c>
      <c r="G22" s="445">
        <f t="shared" ref="G22:G32" si="7">G4*$G$17</f>
        <v>0</v>
      </c>
      <c r="H22" s="445">
        <f t="shared" ref="H22:H32" si="8">H4*$H$17</f>
        <v>0</v>
      </c>
      <c r="I22" s="445">
        <f t="shared" ref="I22:I32" si="9">I4*$I$17</f>
        <v>0</v>
      </c>
      <c r="J22" s="445">
        <f t="shared" ref="J22:J32" si="10">J4*$J$17</f>
        <v>39.705281808705479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9816.4422307585428</v>
      </c>
    </row>
    <row r="23" spans="1:17">
      <c r="A23" s="444" t="s">
        <v>155</v>
      </c>
      <c r="B23" s="445">
        <f t="shared" ca="1" si="2"/>
        <v>987.26790047779036</v>
      </c>
      <c r="C23" s="445">
        <f t="shared" ca="1" si="3"/>
        <v>0</v>
      </c>
      <c r="D23" s="445">
        <f t="shared" ca="1" si="4"/>
        <v>406.48921634640004</v>
      </c>
      <c r="E23" s="445">
        <f t="shared" si="5"/>
        <v>31.529294175788337</v>
      </c>
      <c r="F23" s="445">
        <f t="shared" ca="1" si="6"/>
        <v>263.22504659439011</v>
      </c>
      <c r="G23" s="445">
        <f t="shared" si="7"/>
        <v>0</v>
      </c>
      <c r="H23" s="445">
        <f t="shared" si="8"/>
        <v>0</v>
      </c>
      <c r="I23" s="445">
        <f t="shared" si="9"/>
        <v>0</v>
      </c>
      <c r="J23" s="445">
        <f t="shared" si="10"/>
        <v>1.7455711411908919E-3</v>
      </c>
      <c r="K23" s="445">
        <f t="shared" si="11"/>
        <v>0</v>
      </c>
      <c r="L23" s="445">
        <f t="shared" ca="1" si="12"/>
        <v>0</v>
      </c>
      <c r="M23" s="445">
        <f t="shared" si="13"/>
        <v>0</v>
      </c>
      <c r="N23" s="445">
        <f t="shared" ca="1" si="14"/>
        <v>0</v>
      </c>
      <c r="O23" s="445">
        <f t="shared" si="15"/>
        <v>0</v>
      </c>
      <c r="P23" s="446">
        <f t="shared" si="16"/>
        <v>0</v>
      </c>
      <c r="Q23" s="444">
        <f t="shared" ref="Q23:Q32" ca="1" si="17">SUM(B23:P23)</f>
        <v>1688.51320316551</v>
      </c>
    </row>
    <row r="24" spans="1:17">
      <c r="A24" s="444" t="s">
        <v>193</v>
      </c>
      <c r="B24" s="445">
        <f t="shared" ca="1" si="2"/>
        <v>83.038873948943376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83.038873948943376</v>
      </c>
    </row>
    <row r="25" spans="1:17">
      <c r="A25" s="444" t="s">
        <v>111</v>
      </c>
      <c r="B25" s="445">
        <f t="shared" ca="1" si="2"/>
        <v>457.7003616414674</v>
      </c>
      <c r="C25" s="445">
        <f t="shared" ca="1" si="3"/>
        <v>0</v>
      </c>
      <c r="D25" s="445">
        <f t="shared" si="4"/>
        <v>25.066897504000003</v>
      </c>
      <c r="E25" s="445">
        <f t="shared" si="5"/>
        <v>16.657804729037952</v>
      </c>
      <c r="F25" s="445">
        <f t="shared" si="6"/>
        <v>2776.9757389109218</v>
      </c>
      <c r="G25" s="445">
        <f t="shared" si="7"/>
        <v>0</v>
      </c>
      <c r="H25" s="445">
        <f t="shared" si="8"/>
        <v>0</v>
      </c>
      <c r="I25" s="445">
        <f t="shared" si="9"/>
        <v>0</v>
      </c>
      <c r="J25" s="445">
        <f t="shared" si="10"/>
        <v>128.04259548767382</v>
      </c>
      <c r="K25" s="445">
        <f t="shared" si="11"/>
        <v>0</v>
      </c>
      <c r="L25" s="445">
        <f t="shared" si="12"/>
        <v>0</v>
      </c>
      <c r="M25" s="445">
        <f t="shared" si="13"/>
        <v>0</v>
      </c>
      <c r="N25" s="445">
        <f t="shared" si="14"/>
        <v>0</v>
      </c>
      <c r="O25" s="445">
        <f t="shared" si="15"/>
        <v>0</v>
      </c>
      <c r="P25" s="446">
        <f t="shared" si="16"/>
        <v>0</v>
      </c>
      <c r="Q25" s="444">
        <f t="shared" ca="1" si="17"/>
        <v>3404.4433982731007</v>
      </c>
    </row>
    <row r="26" spans="1:17">
      <c r="A26" s="444" t="s">
        <v>627</v>
      </c>
      <c r="B26" s="445">
        <f t="shared" ca="1" si="2"/>
        <v>148.15716243988939</v>
      </c>
      <c r="C26" s="445">
        <f t="shared" ca="1" si="3"/>
        <v>0</v>
      </c>
      <c r="D26" s="445">
        <f t="shared" si="4"/>
        <v>37.812796120000009</v>
      </c>
      <c r="E26" s="445">
        <f t="shared" si="5"/>
        <v>21.931833954083221</v>
      </c>
      <c r="F26" s="445">
        <f t="shared" si="6"/>
        <v>78.757182270469386</v>
      </c>
      <c r="G26" s="445">
        <f t="shared" si="7"/>
        <v>0</v>
      </c>
      <c r="H26" s="445">
        <f t="shared" si="8"/>
        <v>0</v>
      </c>
      <c r="I26" s="445">
        <f t="shared" si="9"/>
        <v>0</v>
      </c>
      <c r="J26" s="445">
        <f t="shared" si="10"/>
        <v>5.0916542014088273E-3</v>
      </c>
      <c r="K26" s="445">
        <f t="shared" si="11"/>
        <v>0</v>
      </c>
      <c r="L26" s="445">
        <f t="shared" si="12"/>
        <v>0</v>
      </c>
      <c r="M26" s="445">
        <f t="shared" si="13"/>
        <v>0</v>
      </c>
      <c r="N26" s="445">
        <f t="shared" si="14"/>
        <v>0</v>
      </c>
      <c r="O26" s="445">
        <f t="shared" si="15"/>
        <v>0</v>
      </c>
      <c r="P26" s="446">
        <f t="shared" si="16"/>
        <v>0</v>
      </c>
      <c r="Q26" s="444">
        <f t="shared" ca="1" si="17"/>
        <v>286.66406643864343</v>
      </c>
    </row>
    <row r="27" spans="1:17" s="450" customFormat="1">
      <c r="A27" s="448" t="s">
        <v>553</v>
      </c>
      <c r="B27" s="748">
        <f t="shared" ca="1" si="2"/>
        <v>4.611387000963437</v>
      </c>
      <c r="C27" s="449">
        <f t="shared" ca="1" si="3"/>
        <v>0</v>
      </c>
      <c r="D27" s="449">
        <f t="shared" si="4"/>
        <v>9.2805514070803135</v>
      </c>
      <c r="E27" s="449">
        <f t="shared" si="5"/>
        <v>18.009427695407169</v>
      </c>
      <c r="F27" s="449">
        <f t="shared" si="6"/>
        <v>0</v>
      </c>
      <c r="G27" s="449">
        <f t="shared" si="7"/>
        <v>10083.189272211752</v>
      </c>
      <c r="H27" s="449">
        <f t="shared" si="8"/>
        <v>1831.6922817333743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11946.782920048578</v>
      </c>
    </row>
    <row r="28" spans="1:17">
      <c r="A28" s="444" t="s">
        <v>543</v>
      </c>
      <c r="B28" s="445">
        <f t="shared" ca="1" si="2"/>
        <v>0.98111396544588148</v>
      </c>
      <c r="C28" s="445">
        <f t="shared" ca="1" si="3"/>
        <v>0</v>
      </c>
      <c r="D28" s="445">
        <f t="shared" si="4"/>
        <v>0</v>
      </c>
      <c r="E28" s="445">
        <f t="shared" si="5"/>
        <v>0</v>
      </c>
      <c r="F28" s="445">
        <f t="shared" si="6"/>
        <v>0</v>
      </c>
      <c r="G28" s="445">
        <f t="shared" si="7"/>
        <v>134.22937056854417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135.21048453399004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41.321110340587445</v>
      </c>
      <c r="C32" s="445">
        <f t="shared" ca="1" si="3"/>
        <v>0</v>
      </c>
      <c r="D32" s="445">
        <f t="shared" si="4"/>
        <v>75.169048000000004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116.49015834058744</v>
      </c>
    </row>
    <row r="33" spans="1:17" s="454" customFormat="1">
      <c r="A33" s="999" t="s">
        <v>547</v>
      </c>
      <c r="B33" s="947">
        <f ca="1">SUM(B22:B32)</f>
        <v>3422.0716251837875</v>
      </c>
      <c r="C33" s="947">
        <f t="shared" ref="C33:Q33" ca="1" si="18">SUM(C22:C32)</f>
        <v>0</v>
      </c>
      <c r="D33" s="947">
        <f t="shared" ca="1" si="18"/>
        <v>2199.1286645738801</v>
      </c>
      <c r="E33" s="947">
        <f t="shared" si="18"/>
        <v>296.97409317717023</v>
      </c>
      <c r="F33" s="947">
        <f t="shared" ca="1" si="18"/>
        <v>9342.5453135376647</v>
      </c>
      <c r="G33" s="947">
        <f t="shared" si="18"/>
        <v>10217.418642780296</v>
      </c>
      <c r="H33" s="947">
        <f t="shared" si="18"/>
        <v>1831.6922817333743</v>
      </c>
      <c r="I33" s="947">
        <f t="shared" si="18"/>
        <v>0</v>
      </c>
      <c r="J33" s="947">
        <f t="shared" si="18"/>
        <v>167.75471452172189</v>
      </c>
      <c r="K33" s="947">
        <f t="shared" si="18"/>
        <v>0</v>
      </c>
      <c r="L33" s="947">
        <f t="shared" ca="1" si="18"/>
        <v>0</v>
      </c>
      <c r="M33" s="947">
        <f t="shared" si="18"/>
        <v>0</v>
      </c>
      <c r="N33" s="947">
        <f t="shared" ca="1" si="18"/>
        <v>0</v>
      </c>
      <c r="O33" s="947">
        <f t="shared" si="18"/>
        <v>0</v>
      </c>
      <c r="P33" s="947">
        <f t="shared" si="18"/>
        <v>0</v>
      </c>
      <c r="Q33" s="947">
        <f t="shared" ca="1" si="18"/>
        <v>27477.585335507894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3181.6750441478853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3181.6750441478853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0.18333022174546554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0.18333022174546554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0.18333022174546554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0.18333022174546554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2089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1708.98</v>
      </c>
      <c r="C14" s="324"/>
      <c r="D14" s="324"/>
      <c r="E14" s="324"/>
      <c r="F14" s="324"/>
    </row>
    <row r="15" spans="1:6">
      <c r="A15" s="1291" t="s">
        <v>183</v>
      </c>
      <c r="B15" s="1292">
        <v>14</v>
      </c>
      <c r="C15" s="324"/>
      <c r="D15" s="324"/>
      <c r="E15" s="324"/>
      <c r="F15" s="324"/>
    </row>
    <row r="16" spans="1:6">
      <c r="A16" s="1291" t="s">
        <v>6</v>
      </c>
      <c r="B16" s="1292">
        <v>419</v>
      </c>
      <c r="C16" s="324"/>
      <c r="D16" s="324"/>
      <c r="E16" s="324"/>
      <c r="F16" s="324"/>
    </row>
    <row r="17" spans="1:6">
      <c r="A17" s="1291" t="s">
        <v>7</v>
      </c>
      <c r="B17" s="1292">
        <v>635</v>
      </c>
      <c r="C17" s="324"/>
      <c r="D17" s="324"/>
      <c r="E17" s="324"/>
      <c r="F17" s="324"/>
    </row>
    <row r="18" spans="1:6">
      <c r="A18" s="1291" t="s">
        <v>8</v>
      </c>
      <c r="B18" s="1292">
        <v>805</v>
      </c>
      <c r="C18" s="324"/>
      <c r="D18" s="324"/>
      <c r="E18" s="324"/>
      <c r="F18" s="324"/>
    </row>
    <row r="19" spans="1:6">
      <c r="A19" s="1291" t="s">
        <v>9</v>
      </c>
      <c r="B19" s="1292">
        <v>644</v>
      </c>
      <c r="C19" s="324"/>
      <c r="D19" s="324"/>
      <c r="E19" s="324"/>
      <c r="F19" s="324"/>
    </row>
    <row r="20" spans="1:6">
      <c r="A20" s="1291" t="s">
        <v>10</v>
      </c>
      <c r="B20" s="1292">
        <v>426</v>
      </c>
      <c r="C20" s="324"/>
      <c r="D20" s="324"/>
      <c r="E20" s="324"/>
      <c r="F20" s="324"/>
    </row>
    <row r="21" spans="1:6">
      <c r="A21" s="1291" t="s">
        <v>11</v>
      </c>
      <c r="B21" s="1292">
        <v>6836</v>
      </c>
      <c r="C21" s="324"/>
      <c r="D21" s="324"/>
      <c r="E21" s="324"/>
      <c r="F21" s="324"/>
    </row>
    <row r="22" spans="1:6">
      <c r="A22" s="1291" t="s">
        <v>12</v>
      </c>
      <c r="B22" s="1292">
        <v>5590</v>
      </c>
      <c r="C22" s="324"/>
      <c r="D22" s="324"/>
      <c r="E22" s="324"/>
      <c r="F22" s="324"/>
    </row>
    <row r="23" spans="1:6">
      <c r="A23" s="1291" t="s">
        <v>13</v>
      </c>
      <c r="B23" s="1292">
        <v>436</v>
      </c>
      <c r="C23" s="324"/>
      <c r="D23" s="324"/>
      <c r="E23" s="324"/>
      <c r="F23" s="324"/>
    </row>
    <row r="24" spans="1:6">
      <c r="A24" s="1291" t="s">
        <v>14</v>
      </c>
      <c r="B24" s="1292">
        <v>5</v>
      </c>
      <c r="C24" s="324"/>
      <c r="D24" s="324"/>
      <c r="E24" s="324"/>
      <c r="F24" s="324"/>
    </row>
    <row r="25" spans="1:6">
      <c r="A25" s="1291" t="s">
        <v>15</v>
      </c>
      <c r="B25" s="1292">
        <v>1729</v>
      </c>
      <c r="C25" s="324"/>
      <c r="D25" s="324"/>
      <c r="E25" s="324"/>
      <c r="F25" s="324"/>
    </row>
    <row r="26" spans="1:6">
      <c r="A26" s="1291" t="s">
        <v>16</v>
      </c>
      <c r="B26" s="1292">
        <v>426</v>
      </c>
      <c r="C26" s="324"/>
      <c r="D26" s="324"/>
      <c r="E26" s="324"/>
      <c r="F26" s="324"/>
    </row>
    <row r="27" spans="1:6">
      <c r="A27" s="1291" t="s">
        <v>17</v>
      </c>
      <c r="B27" s="1292">
        <v>0</v>
      </c>
      <c r="C27" s="324"/>
      <c r="D27" s="324"/>
      <c r="E27" s="324"/>
      <c r="F27" s="324"/>
    </row>
    <row r="28" spans="1:6" s="43" customFormat="1">
      <c r="A28" s="1293" t="s">
        <v>18</v>
      </c>
      <c r="B28" s="1294">
        <v>2326</v>
      </c>
      <c r="C28" s="330"/>
      <c r="D28" s="330"/>
      <c r="E28" s="330"/>
      <c r="F28" s="330"/>
    </row>
    <row r="29" spans="1:6">
      <c r="A29" s="1293" t="s">
        <v>722</v>
      </c>
      <c r="B29" s="1294">
        <v>112</v>
      </c>
      <c r="C29" s="330"/>
      <c r="D29" s="330"/>
      <c r="E29" s="330"/>
      <c r="F29" s="330"/>
    </row>
    <row r="30" spans="1:6">
      <c r="A30" s="1286" t="s">
        <v>723</v>
      </c>
      <c r="B30" s="1295">
        <v>23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494</v>
      </c>
      <c r="D39" s="1292">
        <v>9030044.0999999996</v>
      </c>
      <c r="E39" s="1292">
        <v>1944</v>
      </c>
      <c r="F39" s="1292">
        <v>7457995.5999999996</v>
      </c>
    </row>
    <row r="40" spans="1:6">
      <c r="A40" s="1291" t="s">
        <v>29</v>
      </c>
      <c r="B40" s="1291" t="s">
        <v>28</v>
      </c>
      <c r="C40" s="1292">
        <v>0</v>
      </c>
      <c r="D40" s="1292">
        <v>0</v>
      </c>
      <c r="E40" s="1292">
        <v>0</v>
      </c>
      <c r="F40" s="1292">
        <v>0</v>
      </c>
    </row>
    <row r="41" spans="1:6">
      <c r="A41" s="1291" t="s">
        <v>31</v>
      </c>
      <c r="B41" s="1291" t="s">
        <v>32</v>
      </c>
      <c r="C41" s="1292">
        <v>8</v>
      </c>
      <c r="D41" s="1292">
        <v>140056</v>
      </c>
      <c r="E41" s="1292">
        <v>43</v>
      </c>
      <c r="F41" s="1292">
        <v>322439.73800000001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14</v>
      </c>
      <c r="F44" s="1292">
        <v>162527.85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10270</v>
      </c>
    </row>
    <row r="48" spans="1:6">
      <c r="A48" s="1291" t="s">
        <v>31</v>
      </c>
      <c r="B48" s="1291" t="s">
        <v>28</v>
      </c>
      <c r="C48" s="1292">
        <v>4</v>
      </c>
      <c r="D48" s="1292">
        <v>67474</v>
      </c>
      <c r="E48" s="1292">
        <v>1</v>
      </c>
      <c r="F48" s="1292">
        <v>3574</v>
      </c>
    </row>
    <row r="49" spans="1:6">
      <c r="A49" s="1291" t="s">
        <v>31</v>
      </c>
      <c r="B49" s="1291" t="s">
        <v>39</v>
      </c>
      <c r="C49" s="1292">
        <v>0</v>
      </c>
      <c r="D49" s="1292">
        <v>0</v>
      </c>
      <c r="E49" s="1292">
        <v>0</v>
      </c>
      <c r="F49" s="1292">
        <v>0</v>
      </c>
    </row>
    <row r="50" spans="1:6">
      <c r="A50" s="1291" t="s">
        <v>31</v>
      </c>
      <c r="B50" s="1291" t="s">
        <v>40</v>
      </c>
      <c r="C50" s="1292">
        <v>0</v>
      </c>
      <c r="D50" s="1292">
        <v>0</v>
      </c>
      <c r="E50" s="1292">
        <v>7</v>
      </c>
      <c r="F50" s="1292">
        <v>309332.10499999998</v>
      </c>
    </row>
    <row r="51" spans="1:6">
      <c r="A51" s="1291" t="s">
        <v>41</v>
      </c>
      <c r="B51" s="1291" t="s">
        <v>42</v>
      </c>
      <c r="C51" s="1292">
        <v>5</v>
      </c>
      <c r="D51" s="1292">
        <v>137576</v>
      </c>
      <c r="E51" s="1292">
        <v>84</v>
      </c>
      <c r="F51" s="1292">
        <v>2496589.7999999998</v>
      </c>
    </row>
    <row r="52" spans="1:6">
      <c r="A52" s="1291" t="s">
        <v>41</v>
      </c>
      <c r="B52" s="1291" t="s">
        <v>28</v>
      </c>
      <c r="C52" s="1292">
        <v>0</v>
      </c>
      <c r="D52" s="1292">
        <v>0</v>
      </c>
      <c r="E52" s="1292">
        <v>0</v>
      </c>
      <c r="F52" s="1292">
        <v>0</v>
      </c>
    </row>
    <row r="53" spans="1:6">
      <c r="A53" s="1291" t="s">
        <v>43</v>
      </c>
      <c r="B53" s="1291" t="s">
        <v>44</v>
      </c>
      <c r="C53" s="1292">
        <v>9</v>
      </c>
      <c r="D53" s="1292">
        <v>372124</v>
      </c>
      <c r="E53" s="1292">
        <v>38</v>
      </c>
      <c r="F53" s="1292">
        <v>225391.7</v>
      </c>
    </row>
    <row r="54" spans="1:6">
      <c r="A54" s="1291" t="s">
        <v>45</v>
      </c>
      <c r="B54" s="1291" t="s">
        <v>46</v>
      </c>
      <c r="C54" s="1292">
        <v>0</v>
      </c>
      <c r="D54" s="1292">
        <v>0</v>
      </c>
      <c r="E54" s="1292">
        <v>1</v>
      </c>
      <c r="F54" s="1292">
        <v>452947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v>
      </c>
      <c r="D57" s="1292">
        <v>137409</v>
      </c>
      <c r="E57" s="1292">
        <v>32</v>
      </c>
      <c r="F57" s="1292">
        <v>227171</v>
      </c>
    </row>
    <row r="58" spans="1:6">
      <c r="A58" s="1291" t="s">
        <v>48</v>
      </c>
      <c r="B58" s="1291" t="s">
        <v>50</v>
      </c>
      <c r="C58" s="1292">
        <v>8</v>
      </c>
      <c r="D58" s="1292">
        <v>241340</v>
      </c>
      <c r="E58" s="1292">
        <v>17</v>
      </c>
      <c r="F58" s="1292">
        <v>216995</v>
      </c>
    </row>
    <row r="59" spans="1:6">
      <c r="A59" s="1291" t="s">
        <v>48</v>
      </c>
      <c r="B59" s="1291" t="s">
        <v>51</v>
      </c>
      <c r="C59" s="1292">
        <v>9</v>
      </c>
      <c r="D59" s="1292">
        <v>406103</v>
      </c>
      <c r="E59" s="1292">
        <v>51</v>
      </c>
      <c r="F59" s="1292">
        <v>3708173.9750000001</v>
      </c>
    </row>
    <row r="60" spans="1:6">
      <c r="A60" s="1291" t="s">
        <v>48</v>
      </c>
      <c r="B60" s="1291" t="s">
        <v>52</v>
      </c>
      <c r="C60" s="1292">
        <v>6</v>
      </c>
      <c r="D60" s="1292">
        <v>222183</v>
      </c>
      <c r="E60" s="1292">
        <v>18</v>
      </c>
      <c r="F60" s="1292">
        <v>255775</v>
      </c>
    </row>
    <row r="61" spans="1:6">
      <c r="A61" s="1291" t="s">
        <v>48</v>
      </c>
      <c r="B61" s="1291" t="s">
        <v>53</v>
      </c>
      <c r="C61" s="1292">
        <v>39</v>
      </c>
      <c r="D61" s="1292">
        <v>1118824.6000000001</v>
      </c>
      <c r="E61" s="1292">
        <v>94</v>
      </c>
      <c r="F61" s="1292">
        <v>947409.06299999997</v>
      </c>
    </row>
    <row r="62" spans="1:6">
      <c r="A62" s="1291" t="s">
        <v>48</v>
      </c>
      <c r="B62" s="1291" t="s">
        <v>54</v>
      </c>
      <c r="C62" s="1292">
        <v>0</v>
      </c>
      <c r="D62" s="1292">
        <v>0</v>
      </c>
      <c r="E62" s="1292">
        <v>3</v>
      </c>
      <c r="F62" s="1292">
        <v>29665</v>
      </c>
    </row>
    <row r="63" spans="1:6">
      <c r="A63" s="1291" t="s">
        <v>48</v>
      </c>
      <c r="B63" s="1291" t="s">
        <v>28</v>
      </c>
      <c r="C63" s="1292">
        <v>1</v>
      </c>
      <c r="D63" s="1292">
        <v>105097</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31531966</v>
      </c>
      <c r="E73" s="443"/>
      <c r="F73" s="324"/>
    </row>
    <row r="74" spans="1:6">
      <c r="A74" s="1291" t="s">
        <v>63</v>
      </c>
      <c r="B74" s="1291" t="s">
        <v>648</v>
      </c>
      <c r="C74" s="1305" t="s">
        <v>650</v>
      </c>
      <c r="D74" s="1306">
        <v>5385211</v>
      </c>
      <c r="E74" s="443"/>
      <c r="F74" s="324"/>
    </row>
    <row r="75" spans="1:6">
      <c r="A75" s="1291" t="s">
        <v>64</v>
      </c>
      <c r="B75" s="1291" t="s">
        <v>647</v>
      </c>
      <c r="C75" s="1305" t="s">
        <v>651</v>
      </c>
      <c r="D75" s="1306">
        <v>14481926</v>
      </c>
      <c r="E75" s="443"/>
      <c r="F75" s="324"/>
    </row>
    <row r="76" spans="1:6">
      <c r="A76" s="1291" t="s">
        <v>64</v>
      </c>
      <c r="B76" s="1291" t="s">
        <v>648</v>
      </c>
      <c r="C76" s="1305" t="s">
        <v>652</v>
      </c>
      <c r="D76" s="1306">
        <v>261850</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146066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1809.4001364627643</v>
      </c>
      <c r="C91" s="324"/>
      <c r="D91" s="324"/>
      <c r="E91" s="324"/>
      <c r="F91" s="324"/>
    </row>
    <row r="92" spans="1:6">
      <c r="A92" s="1286" t="s">
        <v>68</v>
      </c>
      <c r="B92" s="1287">
        <v>1372.274907685121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100</v>
      </c>
      <c r="C97" s="324"/>
      <c r="D97" s="324"/>
      <c r="E97" s="324"/>
      <c r="F97" s="324"/>
    </row>
    <row r="98" spans="1:6">
      <c r="A98" s="1291" t="s">
        <v>71</v>
      </c>
      <c r="B98" s="1292">
        <v>0</v>
      </c>
      <c r="C98" s="324"/>
      <c r="D98" s="324"/>
      <c r="E98" s="324"/>
      <c r="F98" s="324"/>
    </row>
    <row r="99" spans="1:6">
      <c r="A99" s="1291" t="s">
        <v>72</v>
      </c>
      <c r="B99" s="1292">
        <v>65</v>
      </c>
      <c r="C99" s="324"/>
      <c r="D99" s="324"/>
      <c r="E99" s="324"/>
      <c r="F99" s="324"/>
    </row>
    <row r="100" spans="1:6">
      <c r="A100" s="1291" t="s">
        <v>73</v>
      </c>
      <c r="B100" s="1292">
        <v>83</v>
      </c>
      <c r="C100" s="324"/>
      <c r="D100" s="324"/>
      <c r="E100" s="324"/>
      <c r="F100" s="324"/>
    </row>
    <row r="101" spans="1:6">
      <c r="A101" s="1291" t="s">
        <v>74</v>
      </c>
      <c r="B101" s="1292">
        <v>28</v>
      </c>
      <c r="C101" s="324"/>
      <c r="D101" s="324"/>
      <c r="E101" s="324"/>
      <c r="F101" s="324"/>
    </row>
    <row r="102" spans="1:6">
      <c r="A102" s="1291" t="s">
        <v>75</v>
      </c>
      <c r="B102" s="1292">
        <v>20</v>
      </c>
      <c r="C102" s="324"/>
      <c r="D102" s="324"/>
      <c r="E102" s="324"/>
      <c r="F102" s="324"/>
    </row>
    <row r="103" spans="1:6">
      <c r="A103" s="1291" t="s">
        <v>76</v>
      </c>
      <c r="B103" s="1292">
        <v>74</v>
      </c>
      <c r="C103" s="324"/>
      <c r="D103" s="324"/>
      <c r="E103" s="324"/>
      <c r="F103" s="324"/>
    </row>
    <row r="104" spans="1:6">
      <c r="A104" s="1291" t="s">
        <v>77</v>
      </c>
      <c r="B104" s="1292">
        <v>1532</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18</v>
      </c>
      <c r="C123" s="1292">
        <v>3</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50</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18666.16203592973</v>
      </c>
      <c r="C3" s="43" t="s">
        <v>169</v>
      </c>
      <c r="D3" s="43"/>
      <c r="E3" s="154"/>
      <c r="F3" s="43"/>
      <c r="G3" s="43"/>
      <c r="H3" s="43"/>
      <c r="I3" s="43"/>
      <c r="J3" s="43"/>
      <c r="K3" s="96"/>
    </row>
    <row r="4" spans="1:11">
      <c r="A4" s="352" t="s">
        <v>170</v>
      </c>
      <c r="B4" s="49">
        <f>IF(ISERROR('SEAP template'!B78+'SEAP template'!C78),0,'SEAP template'!B78+'SEAP template'!C78)</f>
        <v>3181.6750441478853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0.18333022174546554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452.947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452.947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0.18333022174546554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83.038873948943376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7457.9955999999993</v>
      </c>
      <c r="C5" s="17">
        <f>IF(ISERROR('Eigen informatie GS &amp; warmtenet'!B57),0,'Eigen informatie GS &amp; warmtenet'!B57)</f>
        <v>0</v>
      </c>
      <c r="D5" s="30">
        <f>(SUM(HH_hh_gas_kWh,HH_rest_gas_kWh)/1000)*0.902</f>
        <v>8145.0997781999995</v>
      </c>
      <c r="E5" s="17">
        <f>B32*B41</f>
        <v>920.02525384516991</v>
      </c>
      <c r="F5" s="17">
        <f>B36*B45</f>
        <v>23309.315901729904</v>
      </c>
      <c r="G5" s="18"/>
      <c r="H5" s="17"/>
      <c r="I5" s="17"/>
      <c r="J5" s="17">
        <f>B35*B44+C35*C44</f>
        <v>112.16181301894203</v>
      </c>
      <c r="K5" s="17"/>
      <c r="L5" s="17"/>
      <c r="M5" s="17"/>
      <c r="N5" s="17">
        <f>B34*B43+C34*C43</f>
        <v>3422.7504919412872</v>
      </c>
      <c r="O5" s="17">
        <f>B52*B53*B54</f>
        <v>84.42</v>
      </c>
      <c r="P5" s="17">
        <f>B60*B61*B62/1000-B60*B61*B62/1000/B63</f>
        <v>724.5333333333333</v>
      </c>
    </row>
    <row r="6" spans="1:16">
      <c r="A6" s="16" t="s">
        <v>613</v>
      </c>
      <c r="B6" s="756">
        <f>kWh_PV_kleiner_dan_10kW</f>
        <v>1809.4001364627643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9267.395736462764</v>
      </c>
      <c r="C8" s="21">
        <f>C5</f>
        <v>0</v>
      </c>
      <c r="D8" s="21">
        <f>D5</f>
        <v>8145.0997781999995</v>
      </c>
      <c r="E8" s="21">
        <f>E5</f>
        <v>920.02525384516991</v>
      </c>
      <c r="F8" s="21">
        <f>F5</f>
        <v>23309.315901729904</v>
      </c>
      <c r="G8" s="21"/>
      <c r="H8" s="21"/>
      <c r="I8" s="21"/>
      <c r="J8" s="21">
        <f>J5</f>
        <v>112.16181301894203</v>
      </c>
      <c r="K8" s="21"/>
      <c r="L8" s="21">
        <f>L5</f>
        <v>0</v>
      </c>
      <c r="M8" s="21">
        <f>M5</f>
        <v>0</v>
      </c>
      <c r="N8" s="21">
        <f>N5</f>
        <v>3422.7504919412872</v>
      </c>
      <c r="O8" s="21">
        <f>O5</f>
        <v>84.42</v>
      </c>
      <c r="P8" s="21">
        <f>P5</f>
        <v>724.5333333333333</v>
      </c>
    </row>
    <row r="9" spans="1:16">
      <c r="B9" s="19"/>
      <c r="C9" s="19"/>
      <c r="D9" s="254"/>
      <c r="E9" s="19"/>
      <c r="F9" s="19"/>
      <c r="G9" s="19"/>
      <c r="H9" s="19"/>
      <c r="I9" s="19"/>
      <c r="J9" s="19"/>
      <c r="K9" s="19"/>
      <c r="L9" s="19"/>
      <c r="M9" s="19"/>
      <c r="N9" s="19"/>
      <c r="O9" s="19"/>
      <c r="P9" s="19"/>
    </row>
    <row r="10" spans="1:16">
      <c r="A10" s="24" t="s">
        <v>213</v>
      </c>
      <c r="B10" s="25">
        <f ca="1">'EF ele_warmte'!B12</f>
        <v>0.18333022174546554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1698.9937153687004</v>
      </c>
      <c r="C12" s="23">
        <f ca="1">C10*C8</f>
        <v>0</v>
      </c>
      <c r="D12" s="23">
        <f>D8*D10</f>
        <v>1645.3101551964</v>
      </c>
      <c r="E12" s="23">
        <f>E10*E8</f>
        <v>208.84573262285357</v>
      </c>
      <c r="F12" s="23">
        <f>F10*F8</f>
        <v>6223.5873457618845</v>
      </c>
      <c r="G12" s="23"/>
      <c r="H12" s="23"/>
      <c r="I12" s="23"/>
      <c r="J12" s="23">
        <f>J10*J8</f>
        <v>39.705281808705479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2089</v>
      </c>
      <c r="C26" s="36"/>
      <c r="D26" s="225"/>
    </row>
    <row r="27" spans="1:5" s="15" customFormat="1">
      <c r="A27" s="227" t="s">
        <v>768</v>
      </c>
      <c r="B27" s="37">
        <f>SUM(HH_hh_gas_aantal,HH_rest_gas_aantal)</f>
        <v>494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469.3</v>
      </c>
      <c r="C31" s="34" t="s">
        <v>110</v>
      </c>
      <c r="D31" s="171"/>
    </row>
    <row r="32" spans="1:5">
      <c r="A32" s="168" t="s">
        <v>72</v>
      </c>
      <c r="B32" s="33">
        <f>IF((B21*($B$26-($B$27-0.05*$B$27)-$B$60))&lt;0,0,B21*($B$26-($B$27-0.05*$B$27)-$B$60))</f>
        <v>17.399481833342531</v>
      </c>
      <c r="C32" s="34" t="s">
        <v>110</v>
      </c>
      <c r="D32" s="171"/>
    </row>
    <row r="33" spans="1:6">
      <c r="A33" s="168" t="s">
        <v>73</v>
      </c>
      <c r="B33" s="33">
        <f>IF((B22*($B$26-($B$27-0.05*$B$27)-$B$60))&lt;0,0,B22*($B$26-($B$27-0.05*$B$27)-$B$60))</f>
        <v>361.74983886558203</v>
      </c>
      <c r="C33" s="34" t="s">
        <v>110</v>
      </c>
      <c r="D33" s="171"/>
    </row>
    <row r="34" spans="1:6">
      <c r="A34" s="168" t="s">
        <v>74</v>
      </c>
      <c r="B34" s="33">
        <f>IF((B24*($B$26-($B$27-0.05*$B$27)-$B$60))&lt;0,0,B24*($B$26-($B$27-0.05*$B$27)-$B$60))</f>
        <v>71.939182979917177</v>
      </c>
      <c r="C34" s="33">
        <f>B26*C24</f>
        <v>427.60900840260877</v>
      </c>
      <c r="D34" s="230"/>
    </row>
    <row r="35" spans="1:6">
      <c r="A35" s="168" t="s">
        <v>76</v>
      </c>
      <c r="B35" s="33">
        <f>IF((B19*($B$26-($B$27-0.05*$B$27)-$B$60))&lt;0,0,B19*($B$26-($B$27-0.05*$B$27)-$B$60))</f>
        <v>13.16953154992631</v>
      </c>
      <c r="C35" s="33">
        <f>B35/2</f>
        <v>6.584765774963155</v>
      </c>
      <c r="D35" s="230"/>
    </row>
    <row r="36" spans="1:6">
      <c r="A36" s="168" t="s">
        <v>77</v>
      </c>
      <c r="B36" s="33">
        <f>IF((B18*($B$26-($B$27-0.05*$B$27)-$B$60))&lt;0,0,B18*($B$26-($B$27-0.05*$B$27)-$B$60))</f>
        <v>1117.4419647712321</v>
      </c>
      <c r="C36" s="34" t="s">
        <v>110</v>
      </c>
      <c r="D36" s="171"/>
    </row>
    <row r="37" spans="1:6">
      <c r="A37" s="168" t="s">
        <v>78</v>
      </c>
      <c r="B37" s="33">
        <f>B60</f>
        <v>38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5385.1890380000004</v>
      </c>
      <c r="C5" s="17">
        <f>IF(ISERROR('Eigen informatie GS &amp; warmtenet'!B58),0,'Eigen informatie GS &amp; warmtenet'!B58)</f>
        <v>0</v>
      </c>
      <c r="D5" s="30">
        <f>SUM(D6:D12)</f>
        <v>2012.3228532000001</v>
      </c>
      <c r="E5" s="17">
        <f>SUM(E6:E12)</f>
        <v>138.89556905633629</v>
      </c>
      <c r="F5" s="17">
        <f>SUM(F6:F12)</f>
        <v>985.86159773179816</v>
      </c>
      <c r="G5" s="18"/>
      <c r="H5" s="17"/>
      <c r="I5" s="17"/>
      <c r="J5" s="17">
        <f>SUM(J6:J12)</f>
        <v>4.9309919242680562E-3</v>
      </c>
      <c r="K5" s="17"/>
      <c r="L5" s="17"/>
      <c r="M5" s="17"/>
      <c r="N5" s="17">
        <f>SUM(N6:N12)</f>
        <v>202.4642937085726</v>
      </c>
      <c r="O5" s="17">
        <f>B38*B39*B40</f>
        <v>1.5633333333333335</v>
      </c>
      <c r="P5" s="17">
        <f>B46*B47*B48/1000-B46*B47*B48/1000/B49</f>
        <v>0</v>
      </c>
      <c r="R5" s="32"/>
    </row>
    <row r="6" spans="1:18">
      <c r="A6" s="32" t="s">
        <v>53</v>
      </c>
      <c r="B6" s="37">
        <f>B26</f>
        <v>947.40906299999995</v>
      </c>
      <c r="C6" s="33"/>
      <c r="D6" s="37">
        <f>IF(ISERROR(TER_kantoor_gas_kWh/1000),0,TER_kantoor_gas_kWh/1000)*0.902</f>
        <v>1009.1797892000002</v>
      </c>
      <c r="E6" s="33">
        <f>$C$26*'E Balans VL '!I12/100/3.6*1000000</f>
        <v>5.9380449035661836E-3</v>
      </c>
      <c r="F6" s="33">
        <f>$C$26*('E Balans VL '!L12+'E Balans VL '!N12)/100/3.6*1000000</f>
        <v>142.36910903483738</v>
      </c>
      <c r="G6" s="34"/>
      <c r="H6" s="33"/>
      <c r="I6" s="33"/>
      <c r="J6" s="33">
        <f>$C$26*('E Balans VL '!D12+'E Balans VL '!E12)/100/3.6*1000000</f>
        <v>0</v>
      </c>
      <c r="K6" s="33"/>
      <c r="L6" s="33"/>
      <c r="M6" s="33"/>
      <c r="N6" s="33">
        <f>$C$26*'E Balans VL '!Y12/100/3.6*1000000</f>
        <v>0.90605629995027781</v>
      </c>
      <c r="O6" s="33"/>
      <c r="P6" s="33"/>
      <c r="R6" s="32"/>
    </row>
    <row r="7" spans="1:18">
      <c r="A7" s="32" t="s">
        <v>52</v>
      </c>
      <c r="B7" s="37">
        <f t="shared" ref="B7:B12" si="0">B27</f>
        <v>255.77500000000001</v>
      </c>
      <c r="C7" s="33"/>
      <c r="D7" s="37">
        <f>IF(ISERROR(TER_horeca_gas_kWh/1000),0,TER_horeca_gas_kWh/1000)*0.902</f>
        <v>200.409066</v>
      </c>
      <c r="E7" s="33">
        <f>$C$27*'E Balans VL '!I9/100/3.6*1000000</f>
        <v>3.6626553960180197</v>
      </c>
      <c r="F7" s="33">
        <f>$C$27*('E Balans VL '!L9+'E Balans VL '!N9)/100/3.6*1000000</f>
        <v>32.389550784495889</v>
      </c>
      <c r="G7" s="34"/>
      <c r="H7" s="33"/>
      <c r="I7" s="33"/>
      <c r="J7" s="33">
        <f>$C$27*('E Balans VL '!D9+'E Balans VL '!E9)/100/3.6*1000000</f>
        <v>0</v>
      </c>
      <c r="K7" s="33"/>
      <c r="L7" s="33"/>
      <c r="M7" s="33"/>
      <c r="N7" s="33">
        <f>$C$27*'E Balans VL '!Y9/100/3.6*1000000</f>
        <v>7.3529673145330335E-2</v>
      </c>
      <c r="O7" s="33"/>
      <c r="P7" s="33"/>
      <c r="R7" s="32"/>
    </row>
    <row r="8" spans="1:18">
      <c r="A8" s="6" t="s">
        <v>51</v>
      </c>
      <c r="B8" s="37">
        <f t="shared" si="0"/>
        <v>3708.1739750000002</v>
      </c>
      <c r="C8" s="33"/>
      <c r="D8" s="37">
        <f>IF(ISERROR(TER_handel_gas_kWh/1000),0,TER_handel_gas_kWh/1000)*0.902</f>
        <v>366.30490600000002</v>
      </c>
      <c r="E8" s="33">
        <f>$C$28*'E Balans VL '!I13/100/3.6*1000000</f>
        <v>134.49501280172188</v>
      </c>
      <c r="F8" s="33">
        <f>$C$28*('E Balans VL '!L13+'E Balans VL '!N13)/100/3.6*1000000</f>
        <v>714.23185523370194</v>
      </c>
      <c r="G8" s="34"/>
      <c r="H8" s="33"/>
      <c r="I8" s="33"/>
      <c r="J8" s="33">
        <f>$C$28*('E Balans VL '!D13+'E Balans VL '!E13)/100/3.6*1000000</f>
        <v>0</v>
      </c>
      <c r="K8" s="33"/>
      <c r="L8" s="33"/>
      <c r="M8" s="33"/>
      <c r="N8" s="33">
        <f>$C$28*'E Balans VL '!Y13/100/3.6*1000000</f>
        <v>5.1366741681544985</v>
      </c>
      <c r="O8" s="33"/>
      <c r="P8" s="33"/>
      <c r="R8" s="32"/>
    </row>
    <row r="9" spans="1:18">
      <c r="A9" s="32" t="s">
        <v>50</v>
      </c>
      <c r="B9" s="37">
        <f t="shared" si="0"/>
        <v>216.995</v>
      </c>
      <c r="C9" s="33"/>
      <c r="D9" s="37">
        <f>IF(ISERROR(TER_gezond_gas_kWh/1000),0,TER_gezond_gas_kWh/1000)*0.902</f>
        <v>217.68868000000001</v>
      </c>
      <c r="E9" s="33">
        <f>$C$29*'E Balans VL '!I10/100/3.6*1000000</f>
        <v>1.3586029438571094E-2</v>
      </c>
      <c r="F9" s="33">
        <f>$C$29*('E Balans VL '!L10+'E Balans VL '!N10)/100/3.6*1000000</f>
        <v>32.235267936854513</v>
      </c>
      <c r="G9" s="34"/>
      <c r="H9" s="33"/>
      <c r="I9" s="33"/>
      <c r="J9" s="33">
        <f>$C$29*('E Balans VL '!D10+'E Balans VL '!E10)/100/3.6*1000000</f>
        <v>0</v>
      </c>
      <c r="K9" s="33"/>
      <c r="L9" s="33"/>
      <c r="M9" s="33"/>
      <c r="N9" s="33">
        <f>$C$29*'E Balans VL '!Y10/100/3.6*1000000</f>
        <v>3.3564995982276966</v>
      </c>
      <c r="O9" s="33"/>
      <c r="P9" s="33"/>
      <c r="R9" s="32"/>
    </row>
    <row r="10" spans="1:18">
      <c r="A10" s="32" t="s">
        <v>49</v>
      </c>
      <c r="B10" s="37">
        <f t="shared" si="0"/>
        <v>227.17099999999999</v>
      </c>
      <c r="C10" s="33"/>
      <c r="D10" s="37">
        <f>IF(ISERROR(TER_ander_gas_kWh/1000),0,TER_ander_gas_kWh/1000)*0.902</f>
        <v>123.94291799999999</v>
      </c>
      <c r="E10" s="33">
        <f>$C$30*'E Balans VL '!I14/100/3.6*1000000</f>
        <v>0.2707797142801136</v>
      </c>
      <c r="F10" s="33">
        <f>$C$30*('E Balans VL '!L14+'E Balans VL '!N14)/100/3.6*1000000</f>
        <v>59.438032829434775</v>
      </c>
      <c r="G10" s="34"/>
      <c r="H10" s="33"/>
      <c r="I10" s="33"/>
      <c r="J10" s="33">
        <f>$C$30*('E Balans VL '!D14+'E Balans VL '!E14)/100/3.6*1000000</f>
        <v>4.9309919242680562E-3</v>
      </c>
      <c r="K10" s="33"/>
      <c r="L10" s="33"/>
      <c r="M10" s="33"/>
      <c r="N10" s="33">
        <f>$C$30*'E Balans VL '!Y14/100/3.6*1000000</f>
        <v>192.90805440387561</v>
      </c>
      <c r="O10" s="33"/>
      <c r="P10" s="33"/>
      <c r="R10" s="32"/>
    </row>
    <row r="11" spans="1:18">
      <c r="A11" s="32" t="s">
        <v>54</v>
      </c>
      <c r="B11" s="37">
        <f t="shared" si="0"/>
        <v>29.664999999999999</v>
      </c>
      <c r="C11" s="33"/>
      <c r="D11" s="37">
        <f>IF(ISERROR(TER_onderwijs_gas_kWh/1000),0,TER_onderwijs_gas_kWh/1000)*0.902</f>
        <v>0</v>
      </c>
      <c r="E11" s="33">
        <f>$C$31*'E Balans VL '!I11/100/3.6*1000000</f>
        <v>0.44759706997411186</v>
      </c>
      <c r="F11" s="33">
        <f>$C$31*('E Balans VL '!L11+'E Balans VL '!N11)/100/3.6*1000000</f>
        <v>5.1977819124737366</v>
      </c>
      <c r="G11" s="34"/>
      <c r="H11" s="33"/>
      <c r="I11" s="33"/>
      <c r="J11" s="33">
        <f>$C$31*('E Balans VL '!D11+'E Balans VL '!E11)/100/3.6*1000000</f>
        <v>0</v>
      </c>
      <c r="K11" s="33"/>
      <c r="L11" s="33"/>
      <c r="M11" s="33"/>
      <c r="N11" s="33">
        <f>$C$31*'E Balans VL '!Y11/100/3.6*1000000</f>
        <v>8.3479565219182955E-2</v>
      </c>
      <c r="O11" s="33"/>
      <c r="P11" s="33"/>
      <c r="R11" s="32"/>
    </row>
    <row r="12" spans="1:18">
      <c r="A12" s="32" t="s">
        <v>254</v>
      </c>
      <c r="B12" s="37">
        <f t="shared" si="0"/>
        <v>0</v>
      </c>
      <c r="C12" s="33"/>
      <c r="D12" s="37">
        <f>IF(ISERROR(TER_rest_gas_kWh/1000),0,TER_rest_gas_kWh/1000)*0.902</f>
        <v>94.797494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5385.1890380000004</v>
      </c>
      <c r="C16" s="21">
        <f t="shared" ca="1" si="1"/>
        <v>0</v>
      </c>
      <c r="D16" s="21">
        <f t="shared" ca="1" si="1"/>
        <v>2012.3228532000001</v>
      </c>
      <c r="E16" s="21">
        <f t="shared" si="1"/>
        <v>138.89556905633629</v>
      </c>
      <c r="F16" s="21">
        <f t="shared" ca="1" si="1"/>
        <v>985.86159773179816</v>
      </c>
      <c r="G16" s="21">
        <f t="shared" si="1"/>
        <v>0</v>
      </c>
      <c r="H16" s="21">
        <f t="shared" si="1"/>
        <v>0</v>
      </c>
      <c r="I16" s="21">
        <f t="shared" si="1"/>
        <v>0</v>
      </c>
      <c r="J16" s="21">
        <f t="shared" si="1"/>
        <v>4.9309919242680562E-3</v>
      </c>
      <c r="K16" s="21">
        <f t="shared" si="1"/>
        <v>0</v>
      </c>
      <c r="L16" s="21">
        <f t="shared" ca="1" si="1"/>
        <v>0</v>
      </c>
      <c r="M16" s="21">
        <f t="shared" si="1"/>
        <v>0</v>
      </c>
      <c r="N16" s="21">
        <f t="shared" ca="1" si="1"/>
        <v>202.4642937085726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0.18333022174546554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987.26790047779036</v>
      </c>
      <c r="C20" s="23">
        <f t="shared" ref="C20:P20" ca="1" si="2">C16*C18</f>
        <v>0</v>
      </c>
      <c r="D20" s="23">
        <f t="shared" ca="1" si="2"/>
        <v>406.48921634640004</v>
      </c>
      <c r="E20" s="23">
        <f t="shared" si="2"/>
        <v>31.529294175788337</v>
      </c>
      <c r="F20" s="23">
        <f t="shared" ca="1" si="2"/>
        <v>263.22504659439011</v>
      </c>
      <c r="G20" s="23">
        <f t="shared" si="2"/>
        <v>0</v>
      </c>
      <c r="H20" s="23">
        <f t="shared" si="2"/>
        <v>0</v>
      </c>
      <c r="I20" s="23">
        <f t="shared" si="2"/>
        <v>0</v>
      </c>
      <c r="J20" s="23">
        <f t="shared" si="2"/>
        <v>1.7455711411908919E-3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947.40906299999995</v>
      </c>
      <c r="C26" s="39">
        <f>IF(ISERROR(B26*3.6/1000000/'E Balans VL '!Z12*100),0,B26*3.6/1000000/'E Balans VL '!Z12*100)</f>
        <v>2.0026726774635593E-2</v>
      </c>
      <c r="D26" s="233" t="s">
        <v>732</v>
      </c>
      <c r="F26" s="6"/>
    </row>
    <row r="27" spans="1:18">
      <c r="A27" s="228" t="s">
        <v>52</v>
      </c>
      <c r="B27" s="33">
        <f>IF(ISERROR(TER_horeca_ele_kWh/1000),0,TER_horeca_ele_kWh/1000)</f>
        <v>255.77500000000001</v>
      </c>
      <c r="C27" s="39">
        <f>IF(ISERROR(B27*3.6/1000000/'E Balans VL '!Z9*100),0,B27*3.6/1000000/'E Balans VL '!Z9*100)</f>
        <v>2.0162647917790617E-2</v>
      </c>
      <c r="D27" s="233" t="s">
        <v>732</v>
      </c>
      <c r="F27" s="6"/>
    </row>
    <row r="28" spans="1:18">
      <c r="A28" s="168" t="s">
        <v>51</v>
      </c>
      <c r="B28" s="33">
        <f>IF(ISERROR(TER_handel_ele_kWh/1000),0,TER_handel_ele_kWh/1000)</f>
        <v>3708.1739750000002</v>
      </c>
      <c r="C28" s="39">
        <f>IF(ISERROR(B28*3.6/1000000/'E Balans VL '!Z13*100),0,B28*3.6/1000000/'E Balans VL '!Z13*100)</f>
        <v>0.1076261914562622</v>
      </c>
      <c r="D28" s="233" t="s">
        <v>732</v>
      </c>
      <c r="F28" s="6"/>
    </row>
    <row r="29" spans="1:18">
      <c r="A29" s="228" t="s">
        <v>50</v>
      </c>
      <c r="B29" s="33">
        <f>IF(ISERROR(TER_gezond_ele_kWh/1000),0,TER_gezond_ele_kWh/1000)</f>
        <v>216.995</v>
      </c>
      <c r="C29" s="39">
        <f>IF(ISERROR(B29*3.6/1000000/'E Balans VL '!Z10*100),0,B29*3.6/1000000/'E Balans VL '!Z10*100)</f>
        <v>2.2853136651953439E-2</v>
      </c>
      <c r="D29" s="233" t="s">
        <v>732</v>
      </c>
      <c r="F29" s="6"/>
    </row>
    <row r="30" spans="1:18">
      <c r="A30" s="228" t="s">
        <v>49</v>
      </c>
      <c r="B30" s="33">
        <f>IF(ISERROR(TER_ander_ele_kWh/1000),0,TER_ander_ele_kWh/1000)</f>
        <v>227.17099999999999</v>
      </c>
      <c r="C30" s="39">
        <f>IF(ISERROR(B30*3.6/1000000/'E Balans VL '!Z14*100),0,B30*3.6/1000000/'E Balans VL '!Z14*100)</f>
        <v>1.6756182301295757E-2</v>
      </c>
      <c r="D30" s="233" t="s">
        <v>732</v>
      </c>
      <c r="F30" s="6"/>
    </row>
    <row r="31" spans="1:18">
      <c r="A31" s="228" t="s">
        <v>54</v>
      </c>
      <c r="B31" s="33">
        <f>IF(ISERROR(TER_onderwijs_ele_kWh/1000),0,TER_onderwijs_ele_kWh/1000)</f>
        <v>29.664999999999999</v>
      </c>
      <c r="C31" s="39">
        <f>IF(ISERROR(B31*3.6/1000000/'E Balans VL '!Z11*100),0,B31*3.6/1000000/'E Balans VL '!Z11*100)</f>
        <v>7.3672090904358415E-3</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808.14369299999987</v>
      </c>
      <c r="C5" s="17">
        <f>IF(ISERROR('Eigen informatie GS &amp; warmtenet'!B59),0,'Eigen informatie GS &amp; warmtenet'!B59)</f>
        <v>0</v>
      </c>
      <c r="D5" s="30">
        <f>SUM(D6:D15)</f>
        <v>187.19206000000003</v>
      </c>
      <c r="E5" s="17">
        <f>SUM(E6:E15)</f>
        <v>96.616008608296127</v>
      </c>
      <c r="F5" s="17">
        <f>SUM(F6:F15)</f>
        <v>294.97072011411751</v>
      </c>
      <c r="G5" s="18"/>
      <c r="H5" s="17"/>
      <c r="I5" s="17"/>
      <c r="J5" s="17">
        <f>SUM(J6:J15)</f>
        <v>1.4383203958781999E-2</v>
      </c>
      <c r="K5" s="17"/>
      <c r="L5" s="17"/>
      <c r="M5" s="17"/>
      <c r="N5" s="17">
        <f>SUM(N6:N15)</f>
        <v>53.404479873830518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162.52785</v>
      </c>
      <c r="C8" s="33"/>
      <c r="D8" s="37">
        <f>IF( ISERROR(IND_metaal_Gas_kWH/1000),0,IND_metaal_Gas_kWH/1000)*0.902</f>
        <v>0</v>
      </c>
      <c r="E8" s="33">
        <f>C30*'E Balans VL '!I18/100/3.6*1000000</f>
        <v>1.4942866098596721</v>
      </c>
      <c r="F8" s="33">
        <f>C30*'E Balans VL '!L18/100/3.6*1000000+C30*'E Balans VL '!N18/100/3.6*1000000</f>
        <v>15.239701230137163</v>
      </c>
      <c r="G8" s="34"/>
      <c r="H8" s="33"/>
      <c r="I8" s="33"/>
      <c r="J8" s="40">
        <f>C30*'E Balans VL '!D18/100/3.6*1000000+C30*'E Balans VL '!E18/100/3.6*1000000</f>
        <v>0</v>
      </c>
      <c r="K8" s="33"/>
      <c r="L8" s="33"/>
      <c r="M8" s="33"/>
      <c r="N8" s="33">
        <f>C30*'E Balans VL '!Y18/100/3.6*1000000</f>
        <v>2.3187283688326716</v>
      </c>
      <c r="O8" s="33"/>
      <c r="P8" s="33"/>
      <c r="R8" s="32"/>
    </row>
    <row r="9" spans="1:18">
      <c r="A9" s="6" t="s">
        <v>32</v>
      </c>
      <c r="B9" s="37">
        <f t="shared" si="0"/>
        <v>322.43973800000003</v>
      </c>
      <c r="C9" s="33"/>
      <c r="D9" s="37">
        <f>IF( ISERROR(IND_andere_gas_kWh/1000),0,IND_andere_gas_kWh/1000)*0.902</f>
        <v>126.33051200000001</v>
      </c>
      <c r="E9" s="33">
        <f>C31*'E Balans VL '!I19/100/3.6*1000000</f>
        <v>94.255412578711955</v>
      </c>
      <c r="F9" s="33">
        <f>C31*'E Balans VL '!L19/100/3.6*1000000+C31*'E Balans VL '!N19/100/3.6*1000000</f>
        <v>259.10473592855783</v>
      </c>
      <c r="G9" s="34"/>
      <c r="H9" s="33"/>
      <c r="I9" s="33"/>
      <c r="J9" s="40">
        <f>C31*'E Balans VL '!D19/100/3.6*1000000+C31*'E Balans VL '!E19/100/3.6*1000000</f>
        <v>0</v>
      </c>
      <c r="K9" s="33"/>
      <c r="L9" s="33"/>
      <c r="M9" s="33"/>
      <c r="N9" s="33">
        <f>C31*'E Balans VL '!Y19/100/3.6*1000000</f>
        <v>25.291735121105351</v>
      </c>
      <c r="O9" s="33"/>
      <c r="P9" s="33"/>
      <c r="R9" s="32"/>
    </row>
    <row r="10" spans="1:18">
      <c r="A10" s="6" t="s">
        <v>40</v>
      </c>
      <c r="B10" s="37">
        <f t="shared" si="0"/>
        <v>309.33210499999996</v>
      </c>
      <c r="C10" s="33"/>
      <c r="D10" s="37">
        <f>IF( ISERROR(IND_voed_gas_kWh/1000),0,IND_voed_gas_kWh/1000)*0.902</f>
        <v>0</v>
      </c>
      <c r="E10" s="33">
        <f>C32*'E Balans VL '!I20/100/3.6*1000000</f>
        <v>0.65439686437859412</v>
      </c>
      <c r="F10" s="33">
        <f>C32*'E Balans VL '!L20/100/3.6*1000000+C32*'E Balans VL '!N20/100/3.6*1000000</f>
        <v>19.667651209379475</v>
      </c>
      <c r="G10" s="34"/>
      <c r="H10" s="33"/>
      <c r="I10" s="33"/>
      <c r="J10" s="40">
        <f>C32*'E Balans VL '!D20/100/3.6*1000000+C32*'E Balans VL '!E20/100/3.6*1000000</f>
        <v>0</v>
      </c>
      <c r="K10" s="33"/>
      <c r="L10" s="33"/>
      <c r="M10" s="33"/>
      <c r="N10" s="33">
        <f>C32*'E Balans VL '!Y20/100/3.6*1000000</f>
        <v>21.346967808800255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10.27</v>
      </c>
      <c r="C13" s="33"/>
      <c r="D13" s="37">
        <f>IF( ISERROR(IND_papier_gas_kWh/1000),0,IND_papier_gas_kWh/1000)*0.902</f>
        <v>0</v>
      </c>
      <c r="E13" s="33">
        <f>C35*'E Balans VL '!I23/100/3.6*1000000</f>
        <v>1.4570781269233153E-2</v>
      </c>
      <c r="F13" s="33">
        <f>C35*'E Balans VL '!L23/100/3.6*1000000+C35*'E Balans VL '!N23/100/3.6*1000000</f>
        <v>0.25072931768985279</v>
      </c>
      <c r="G13" s="34"/>
      <c r="H13" s="33"/>
      <c r="I13" s="33"/>
      <c r="J13" s="40">
        <f>C35*'E Balans VL '!D23/100/3.6*1000000+C35*'E Balans VL '!E23/100/3.6*1000000</f>
        <v>1.5883519206356285E-3</v>
      </c>
      <c r="K13" s="33"/>
      <c r="L13" s="33"/>
      <c r="M13" s="33"/>
      <c r="N13" s="33">
        <f>C35*'E Balans VL '!Y23/100/3.6*1000000</f>
        <v>4.1961730949864684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3.5739999999999998</v>
      </c>
      <c r="C15" s="33"/>
      <c r="D15" s="37">
        <f>IF( ISERROR(IND_rest_gas_kWh/1000),0,IND_rest_gas_kWh/1000)*0.902</f>
        <v>60.861548000000006</v>
      </c>
      <c r="E15" s="33">
        <f>C37*'E Balans VL '!I15/100/3.6*1000000</f>
        <v>0.1973417740766735</v>
      </c>
      <c r="F15" s="33">
        <f>C37*'E Balans VL '!L15/100/3.6*1000000+C37*'E Balans VL '!N15/100/3.6*1000000</f>
        <v>0.70790242835322559</v>
      </c>
      <c r="G15" s="34"/>
      <c r="H15" s="33"/>
      <c r="I15" s="33"/>
      <c r="J15" s="40">
        <f>C37*'E Balans VL '!D15/100/3.6*1000000+C37*'E Balans VL '!E15/100/3.6*1000000</f>
        <v>1.279485203814637E-2</v>
      </c>
      <c r="K15" s="33"/>
      <c r="L15" s="33"/>
      <c r="M15" s="33"/>
      <c r="N15" s="33">
        <f>C37*'E Balans VL '!Y15/100/3.6*1000000</f>
        <v>0.25087548010577104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808.14369299999987</v>
      </c>
      <c r="C18" s="21">
        <f>C5+C16</f>
        <v>0</v>
      </c>
      <c r="D18" s="21">
        <f>MAX((D5+D16),0)</f>
        <v>187.19206000000003</v>
      </c>
      <c r="E18" s="21">
        <f>MAX((E5+E16),0)</f>
        <v>96.616008608296127</v>
      </c>
      <c r="F18" s="21">
        <f>MAX((F5+F16),0)</f>
        <v>294.97072011411751</v>
      </c>
      <c r="G18" s="21"/>
      <c r="H18" s="21"/>
      <c r="I18" s="21"/>
      <c r="J18" s="21">
        <f>MAX((J5+J16),0)</f>
        <v>1.4383203958781999E-2</v>
      </c>
      <c r="K18" s="21"/>
      <c r="L18" s="21">
        <f>MAX((L5+L16),0)</f>
        <v>0</v>
      </c>
      <c r="M18" s="21"/>
      <c r="N18" s="21">
        <f>MAX((N5+N16),0)</f>
        <v>53.404479873830518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0.18333022174546554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148.15716243988939</v>
      </c>
      <c r="C22" s="23">
        <f ca="1">C18*C20</f>
        <v>0</v>
      </c>
      <c r="D22" s="23">
        <f>D18*D20</f>
        <v>37.812796120000009</v>
      </c>
      <c r="E22" s="23">
        <f>E18*E20</f>
        <v>21.931833954083221</v>
      </c>
      <c r="F22" s="23">
        <f>F18*F20</f>
        <v>78.757182270469386</v>
      </c>
      <c r="G22" s="23"/>
      <c r="H22" s="23"/>
      <c r="I22" s="23"/>
      <c r="J22" s="23">
        <f>J18*J20</f>
        <v>5.0916542014088273E-3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162.52785</v>
      </c>
      <c r="C30" s="39">
        <f>IF(ISERROR(B30*3.6/1000000/'E Balans VL '!Z18*100),0,B30*3.6/1000000/'E Balans VL '!Z18*100)</f>
        <v>9.2108700081647791E-3</v>
      </c>
      <c r="D30" s="233" t="s">
        <v>732</v>
      </c>
    </row>
    <row r="31" spans="1:18">
      <c r="A31" s="6" t="s">
        <v>32</v>
      </c>
      <c r="B31" s="37">
        <f>IF( ISERROR(IND_ander_ele_kWh/1000),0,IND_ander_ele_kWh/1000)</f>
        <v>322.43973800000003</v>
      </c>
      <c r="C31" s="39">
        <f>IF(ISERROR(B31*3.6/1000000/'E Balans VL '!Z19*100),0,B31*3.6/1000000/'E Balans VL '!Z19*100)</f>
        <v>1.4624523899978785E-2</v>
      </c>
      <c r="D31" s="233" t="s">
        <v>732</v>
      </c>
    </row>
    <row r="32" spans="1:18">
      <c r="A32" s="168" t="s">
        <v>40</v>
      </c>
      <c r="B32" s="37">
        <f>IF( ISERROR(IND_voed_ele_kWh/1000),0,IND_voed_ele_kWh/1000)</f>
        <v>309.33210499999996</v>
      </c>
      <c r="C32" s="39">
        <f>IF(ISERROR(B32*3.6/1000000/'E Balans VL '!Z20*100),0,B32*3.6/1000000/'E Balans VL '!Z20*100)</f>
        <v>9.5690462568382255E-3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10.27</v>
      </c>
      <c r="C35" s="39">
        <f>IF(ISERROR(B35*3.6/1000000/'E Balans VL '!Z22*100),0,B35*3.6/1000000/'E Balans VL '!Z22*100)</f>
        <v>1.8472525796902541E-3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3.5739999999999998</v>
      </c>
      <c r="C37" s="39">
        <f>IF(ISERROR(B37*3.6/1000000/'E Balans VL '!Z15*100),0,B37*3.6/1000000/'E Balans VL '!Z15*100)</f>
        <v>2.8328339289442557E-5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2496.5897999999997</v>
      </c>
      <c r="C5" s="17">
        <f>'Eigen informatie GS &amp; warmtenet'!B60</f>
        <v>0</v>
      </c>
      <c r="D5" s="30">
        <f>IF(ISERROR(SUM(LB_lb_gas_kWh,LB_rest_gas_kWh)/1000),0,SUM(LB_lb_gas_kWh,LB_rest_gas_kWh)/1000)*0.902</f>
        <v>124.093552</v>
      </c>
      <c r="E5" s="17">
        <f>B17*'E Balans VL '!I25/3.6*1000000/100</f>
        <v>73.382399687391853</v>
      </c>
      <c r="F5" s="17">
        <f>B17*('E Balans VL '!L25/3.6*1000000+'E Balans VL '!N25/3.6*1000000)/100</f>
        <v>10400.658198168247</v>
      </c>
      <c r="G5" s="18"/>
      <c r="H5" s="17"/>
      <c r="I5" s="17"/>
      <c r="J5" s="17">
        <f>('E Balans VL '!D25+'E Balans VL '!E25)/3.6*1000000*landbouw!B17/100</f>
        <v>361.70224714032156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2496.5897999999997</v>
      </c>
      <c r="C8" s="21">
        <f>C5+C6</f>
        <v>0</v>
      </c>
      <c r="D8" s="21">
        <f>MAX((D5+D6),0)</f>
        <v>124.093552</v>
      </c>
      <c r="E8" s="21">
        <f>MAX((E5+E6),0)</f>
        <v>73.382399687391853</v>
      </c>
      <c r="F8" s="21">
        <f>MAX((F5+F6),0)</f>
        <v>10400.658198168247</v>
      </c>
      <c r="G8" s="21"/>
      <c r="H8" s="21"/>
      <c r="I8" s="21"/>
      <c r="J8" s="21">
        <f>MAX((J5+J6),0)</f>
        <v>361.70224714032156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0.18333022174546554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457.7003616414674</v>
      </c>
      <c r="C12" s="23">
        <f ca="1">C8*C10</f>
        <v>0</v>
      </c>
      <c r="D12" s="23">
        <f>D8*D10</f>
        <v>25.066897504000003</v>
      </c>
      <c r="E12" s="23">
        <f>E8*E10</f>
        <v>16.657804729037952</v>
      </c>
      <c r="F12" s="23">
        <f>F8*F10</f>
        <v>2776.9757389109218</v>
      </c>
      <c r="G12" s="23"/>
      <c r="H12" s="23"/>
      <c r="I12" s="23"/>
      <c r="J12" s="23">
        <f>J8*J10</f>
        <v>128.04259548767382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0.35427392543162112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199.55362948454433</v>
      </c>
      <c r="C26" s="243">
        <f>B26*'GWP N2O_CH4'!B5</f>
        <v>4190.6262191754313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82.752616097401713</v>
      </c>
      <c r="C27" s="243">
        <f>B27*'GWP N2O_CH4'!B5</f>
        <v>1737.8049380454361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3.090016199716874</v>
      </c>
      <c r="C28" s="243">
        <f>B28*'GWP N2O_CH4'!B4</f>
        <v>957.90502191223095</v>
      </c>
      <c r="D28" s="50"/>
    </row>
    <row r="29" spans="1:4">
      <c r="A29" s="41" t="s">
        <v>271</v>
      </c>
      <c r="B29" s="243">
        <f>B34*'ha_N2O bodem landbouw'!B4</f>
        <v>11.1190346931902</v>
      </c>
      <c r="C29" s="243">
        <f>B29*'GWP N2O_CH4'!B4</f>
        <v>3446.9007548889617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2.5373253990877993E-3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9.0552408901338051E-5</v>
      </c>
      <c r="C5" s="431" t="s">
        <v>210</v>
      </c>
      <c r="D5" s="416">
        <f>SUM(D6:D11)</f>
        <v>1.6539596567073826E-4</v>
      </c>
      <c r="E5" s="416">
        <f>SUM(E6:E11)</f>
        <v>2.8561206917826341E-4</v>
      </c>
      <c r="F5" s="429" t="s">
        <v>210</v>
      </c>
      <c r="G5" s="416">
        <f>SUM(G6:G11)</f>
        <v>0.13595311378263036</v>
      </c>
      <c r="H5" s="416">
        <f>SUM(H6:H11)</f>
        <v>2.6482298049157221E-2</v>
      </c>
      <c r="I5" s="431" t="s">
        <v>210</v>
      </c>
      <c r="J5" s="431" t="s">
        <v>210</v>
      </c>
      <c r="K5" s="431" t="s">
        <v>210</v>
      </c>
      <c r="L5" s="431" t="s">
        <v>210</v>
      </c>
      <c r="M5" s="416">
        <f>SUM(M6:M11)</f>
        <v>8.7227622488784823E-3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5.5308523061914724E-5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9.2983353232463828E-5</v>
      </c>
      <c r="E6" s="859">
        <f>vkm_GW_PW*SUMIFS(TableVerdeelsleutelVkm[LPG],TableVerdeelsleutelVkm[Voertuigtype],"Lichte voertuigen")*SUMIFS(TableECFTransport[EnergieConsumptieFactor (PJ per km)],TableECFTransport[Index],CONCATENATE($A6,"_LPG_LPG"))</f>
        <v>1.636050065822741E-4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4.8541131759357203E-2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1.5022725556502518E-2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3.2783184286630613E-3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1.575095738738273E-6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5.0592734467736808E-2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8.2545014658770785E-7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2.95590802713284E-3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3.359220279162909E-5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7.2412612438274435E-5</v>
      </c>
      <c r="E8" s="419">
        <f>vkm_NGW_PW*SUMIFS(TableVerdeelsleutelVkm[LPG],TableVerdeelsleutelVkm[Voertuigtype],"Lichte voertuigen")*SUMIFS(TableECFTransport[EnergieConsumptieFactor (PJ per km)],TableECFTransport[Index],CONCATENATE($A8,"_LPG_LPG"))</f>
        <v>1.220070625959893E-4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3.3662883612161548E-2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1.1458698596594635E-2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2.3041236028977837E-3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7.65873090559714E-8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3.1563639433748272E-3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4.8445913480910637E-8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1.8441219018479614E-4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25.153446917038348</v>
      </c>
      <c r="C14" s="21"/>
      <c r="D14" s="21">
        <f t="shared" ref="D14:M14" si="0">((D5)*10^9/3600)+D12</f>
        <v>45.94332379742729</v>
      </c>
      <c r="E14" s="21">
        <f t="shared" si="0"/>
        <v>79.336685882850958</v>
      </c>
      <c r="F14" s="21"/>
      <c r="G14" s="21">
        <f t="shared" si="0"/>
        <v>37764.75382850843</v>
      </c>
      <c r="H14" s="21">
        <f t="shared" si="0"/>
        <v>7356.1939025436723</v>
      </c>
      <c r="I14" s="21"/>
      <c r="J14" s="21"/>
      <c r="K14" s="21"/>
      <c r="L14" s="21"/>
      <c r="M14" s="21">
        <f t="shared" si="0"/>
        <v>2422.9895135773563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0.18333022174546554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4.611387000963437</v>
      </c>
      <c r="C18" s="23"/>
      <c r="D18" s="23">
        <f t="shared" ref="D18:M18" si="1">D14*D16</f>
        <v>9.2805514070803135</v>
      </c>
      <c r="E18" s="23">
        <f t="shared" si="1"/>
        <v>18.009427695407169</v>
      </c>
      <c r="F18" s="23"/>
      <c r="G18" s="23">
        <f t="shared" si="1"/>
        <v>10083.189272211752</v>
      </c>
      <c r="H18" s="23">
        <f t="shared" si="1"/>
        <v>1831.6922817333743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1.9265837579736267E-5</v>
      </c>
      <c r="C50" s="313">
        <f t="shared" ref="C50:P50" si="2">SUM(C51:C52)</f>
        <v>0</v>
      </c>
      <c r="D50" s="313">
        <f t="shared" si="2"/>
        <v>0</v>
      </c>
      <c r="E50" s="313">
        <f t="shared" si="2"/>
        <v>0</v>
      </c>
      <c r="F50" s="313">
        <f t="shared" si="2"/>
        <v>0</v>
      </c>
      <c r="G50" s="313">
        <f t="shared" si="2"/>
        <v>1.8098342099129548E-3</v>
      </c>
      <c r="H50" s="313">
        <f t="shared" si="2"/>
        <v>0</v>
      </c>
      <c r="I50" s="313">
        <f t="shared" si="2"/>
        <v>0</v>
      </c>
      <c r="J50" s="313">
        <f t="shared" si="2"/>
        <v>0</v>
      </c>
      <c r="K50" s="313">
        <f t="shared" si="2"/>
        <v>0</v>
      </c>
      <c r="L50" s="313">
        <f t="shared" si="2"/>
        <v>0</v>
      </c>
      <c r="M50" s="313">
        <f t="shared" si="2"/>
        <v>1.0422291809266746E-4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1.9265837579736267E-5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1.8098342099129548E-3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1.0422291809266746E-4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5.3516215499267412</v>
      </c>
      <c r="C54" s="21">
        <f t="shared" ref="C54:P54" si="3">(C50)*10^9/3600</f>
        <v>0</v>
      </c>
      <c r="D54" s="21">
        <f t="shared" si="3"/>
        <v>0</v>
      </c>
      <c r="E54" s="21">
        <f t="shared" si="3"/>
        <v>0</v>
      </c>
      <c r="F54" s="21">
        <f t="shared" si="3"/>
        <v>0</v>
      </c>
      <c r="G54" s="21">
        <f t="shared" si="3"/>
        <v>502.73172497582078</v>
      </c>
      <c r="H54" s="21">
        <f t="shared" si="3"/>
        <v>0</v>
      </c>
      <c r="I54" s="21">
        <f t="shared" si="3"/>
        <v>0</v>
      </c>
      <c r="J54" s="21">
        <f t="shared" si="3"/>
        <v>0</v>
      </c>
      <c r="K54" s="21">
        <f t="shared" si="3"/>
        <v>0</v>
      </c>
      <c r="L54" s="21">
        <f t="shared" si="3"/>
        <v>0</v>
      </c>
      <c r="M54" s="21">
        <f t="shared" si="3"/>
        <v>28.950810581296516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0.18333022174546554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0.98111396544588148</v>
      </c>
      <c r="C58" s="23">
        <f t="shared" ref="C58:P58" ca="1" si="4">C54*C56</f>
        <v>0</v>
      </c>
      <c r="D58" s="23">
        <f t="shared" si="4"/>
        <v>0</v>
      </c>
      <c r="E58" s="23">
        <f t="shared" si="4"/>
        <v>0</v>
      </c>
      <c r="F58" s="23">
        <f t="shared" si="4"/>
        <v>0</v>
      </c>
      <c r="G58" s="23">
        <f t="shared" si="4"/>
        <v>134.22937056854417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3181.6750441478853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3181.6750441478853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2021-06-29T15:40:16Z</dcterms:modified>
</cp:coreProperties>
</file>