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B8" i="18"/>
  <c r="B45" i="18"/>
  <c r="F49" i="18" s="1"/>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49" i="18"/>
  <c r="H17" i="18" s="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<sst xmlns="http://schemas.openxmlformats.org/spreadsheetml/2006/main" count="2485" uniqueCount="908">
  <si>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</si>
  <si>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</si>
  <si>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</si>
  <si>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</si>
  <si>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</si>
  <si>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</si>
  <si>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</si>
  <si>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</si>
  <si>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</si>
  <si>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</si>
  <si>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</si>
  <si>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</si>
  <si>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</si>
  <si>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</si>
  <si>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</si>
  <si>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</si>
  <si>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</si>
  <si>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</si>
  <si>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</si>
  <si>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</si>
  <si>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</si>
  <si>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</si>
  <si>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</si>
  <si>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</si>
  <si>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</si>
  <si>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</si>
  <si>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</si>
  <si>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</si>
  <si>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</si>
  <si>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</si>
  <si>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</si>
  <si>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</si>
  <si>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</si>
  <si>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</si>
  <si>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</si>
  <si>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</si>
  <si>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</si>
  <si>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</si>
  <si>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</si>
  <si>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</si>
  <si>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</si>
  <si>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</si>
  <si>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</si>
  <si>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</si>
  <si>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</si>
  <si>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</si>
  <si>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</si>
  <si>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</si>
  <si>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</si>
  <si>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</si>
  <si>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</si>
  <si>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</si>
  <si>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</si>
  <si>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</si>
  <si>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</si>
  <si>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</si>
  <si>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</si>
  <si>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</si>
  <si>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</si>
  <si>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</si>
  <si>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</si>
  <si>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</si>
  <si>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</si>
  <si>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</si>
  <si>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</si>
  <si>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</si>
  <si>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</si>
  <si>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</si>
  <si>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</si>
  <si>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</si>
  <si>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</si>
  <si>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</si>
  <si>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</si>
  <si>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</si>
  <si>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</si>
  <si>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</si>
  <si>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</si>
  <si>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</si>
  <si>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</si>
  <si>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</si>
  <si>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</si>
  <si>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</si>
  <si>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</si>
  <si>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</si>
  <si>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</si>
  <si>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</si>
  <si>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</si>
  <si>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</si>
  <si>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</si>
  <si>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</si>
  <si>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</si>
  <si>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</si>
  <si>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</si>
  <si>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</si>
  <si>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</si>
  <si>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</si>
  <si>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</si>
  <si>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</si>
  <si>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</si>
  <si>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</si>
  <si>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</si>
  <si>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</si>
  <si>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</si>
  <si>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</si>
  <si>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</si>
  <si>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</si>
  <si>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</si>
  <si>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</si>
  <si>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</si>
  <si>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</si>
  <si>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</si>
  <si>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</si>
  <si>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</si>
  <si>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</si>
  <si>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</si>
  <si>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</si>
  <si>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</si>
  <si>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</si>
  <si>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</si>
  <si>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</si>
  <si>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</si>
  <si>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</si>
  <si>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</si>
  <si>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</si>
  <si>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</si>
  <si>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</si>
  <si>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</si>
  <si>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</si>
  <si>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</si>
  <si>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</si>
  <si>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</si>
  <si>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</si>
  <si>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</si>
  <si>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</si>
  <si>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</si>
  <si>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</si>
  <si>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</si>
  <si>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</si>
  <si>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</si>
  <si>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</si>
  <si>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</si>
  <si>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</si>
  <si>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</si>
  <si>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</si>
  <si>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</si>
  <si>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</si>
  <si>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</si>
  <si>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</si>
  <si>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</si>
  <si>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</si>
  <si>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</si>
  <si>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</si>
  <si>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</si>
  <si>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</si>
  <si>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</si>
  <si>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</si>
  <si>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</si>
  <si>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</si>
  <si>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</si>
  <si>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</si>
  <si>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</si>
  <si>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</si>
  <si>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</si>
  <si>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</si>
  <si>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</si>
  <si>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</si>
  <si>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</si>
  <si>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</si>
  <si>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</si>
  <si>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</si>
  <si>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</si>
  <si>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</si>
  <si>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</si>
  <si>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</si>
  <si>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</si>
  <si>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</si>
  <si>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</si>
  <si>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</si>
  <si>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</si>
  <si>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</si>
  <si>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</si>
  <si>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</si>
  <si>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</si>
  <si>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</si>
  <si>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</si>
  <si>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</si>
  <si>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</si>
  <si>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</si>
  <si>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</si>
  <si>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</si>
  <si>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</si>
  <si>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</si>
  <si>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</si>
  <si>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</si>
  <si>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</si>
  <si>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</si>
  <si>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</si>
  <si>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</si>
  <si>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</si>
  <si>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</si>
  <si>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</si>
  <si>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</si>
  <si>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</si>
  <si>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</si>
  <si>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</si>
  <si>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</si>
  <si>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</si>
  <si>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</si>
  <si>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</si>
  <si>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</si>
  <si>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</si>
  <si>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</si>
  <si>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</si>
  <si>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</si>
  <si>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</si>
  <si>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</si>
  <si>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</si>
  <si>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</si>
  <si>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</si>
  <si>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</si>
  <si>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</si>
  <si>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</si>
  <si>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</si>
  <si>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</si>
  <si>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</si>
  <si>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</si>
  <si>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</si>
  <si>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</si>
  <si>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</si>
  <si>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</si>
  <si>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</si>
  <si>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</si>
  <si>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</si>
  <si>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</si>
  <si>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</si>
  <si>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</si>
  <si>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</si>
  <si>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</si>
  <si>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</si>
  <si>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</si>
  <si>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</si>
  <si>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</si>
  <si>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</si>
  <si>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</si>
  <si>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</si>
  <si>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</si>
  <si>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</si>
  <si>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</si>
  <si>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</si>
  <si>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</si>
  <si>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</si>
  <si>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</si>
  <si>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</si>
  <si>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</si>
  <si>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</si>
  <si>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</si>
  <si>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</si>
  <si>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</si>
  <si>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</si>
  <si>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</si>
  <si>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</si>
  <si>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</si>
  <si>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</si>
  <si>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</si>
  <si>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</si>
  <si>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</si>
  <si>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</si>
  <si>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</si>
  <si>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</si>
  <si>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</si>
  <si>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</si>
  <si>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</si>
  <si>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</si>
  <si>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</si>
  <si>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</si>
  <si>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</si>
  <si>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</si>
  <si>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</si>
  <si>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</si>
  <si>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</si>
  <si>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</si>
  <si>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</si>
  <si>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</si>
  <si>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</si>
  <si>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</si>
  <si>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</si>
  <si>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</si>
  <si>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</si>
  <si>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</si>
  <si>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</si>
  <si>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</si>
  <si>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</si>
  <si>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</si>
  <si>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</si>
  <si>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</si>
  <si>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</si>
  <si>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</si>
  <si>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</si>
  <si>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</si>
  <si>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</si>
  <si>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</si>
  <si>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</si>
  <si>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</si>
  <si>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</si>
  <si>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</si>
  <si>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</si>
  <si>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</si>
  <si>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</si>
  <si>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</si>
  <si>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</si>
  <si>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</si>
  <si>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</si>
  <si>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</si>
  <si>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</si>
  <si>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</si>
  <si>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</si>
  <si>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</si>
  <si>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</si>
  <si>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</si>
  <si>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</si>
  <si>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</si>
  <si>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</si>
  <si>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</si>
  <si>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</si>
  <si>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</si>
  <si>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</si>
  <si>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</si>
  <si>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</si>
  <si>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</si>
  <si>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</si>
  <si>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</si>
  <si>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</si>
  <si>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</si>
  <si>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</si>
  <si>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</si>
  <si>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</si>
  <si>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</si>
  <si>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</si>
  <si>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</si>
  <si>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</si>
  <si>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</si>
  <si>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</si>
  <si>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</si>
  <si>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</si>
  <si>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</si>
  <si>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</si>
  <si>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</si>
  <si>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</si>
  <si>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</si>
  <si>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</si>
  <si>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</si>
  <si>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</si>
  <si>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</si>
  <si>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</si>
  <si>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</si>
  <si>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</si>
  <si>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</si>
  <si>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</si>
  <si>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</si>
  <si>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</si>
  <si>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</si>
  <si>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</si>
  <si>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</si>
  <si>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</si>
  <si>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</si>
  <si>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</si>
  <si>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</si>
  <si>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</si>
  <si>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</si>
  <si>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</si>
  <si>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</si>
  <si>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</si>
  <si>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</si>
  <si>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</si>
  <si>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</si>
  <si>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</si>
  <si>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</si>
  <si>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</si>
  <si>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</si>
  <si>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</si>
  <si>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</si>
  <si>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</si>
  <si>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</si>
  <si>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</si>
  <si>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</si>
  <si>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</si>
  <si>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</si>
  <si>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</si>
  <si>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</si>
  <si>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</si>
  <si>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</si>
  <si>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</si>
  <si>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</si>
  <si>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</si>
  <si>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</si>
  <si>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</si>
  <si>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</si>
  <si>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</si>
  <si>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</si>
  <si>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</si>
  <si>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</si>
  <si>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</si>
  <si>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</si>
  <si>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</si>
  <si>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</si>
  <si>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</si>
  <si>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</si>
  <si>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</si>
  <si>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</si>
  <si>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</si>
  <si>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</si>
  <si>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</si>
  <si>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</si>
  <si>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</si>
  <si>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</si>
  <si>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</si>
  <si>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</si>
  <si>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</si>
  <si>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</si>
  <si>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</si>
  <si>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</si>
  <si>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</si>
  <si>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</si>
  <si>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</si>
  <si>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</si>
  <si>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</si>
  <si>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</si>
  <si>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</si>
  <si>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</si>
  <si>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</si>
  <si>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</si>
  <si>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</si>
  <si>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</si>
  <si>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</si>
  <si>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</si>
  <si>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</si>
  <si>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</si>
  <si>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</si>
  <si>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</si>
  <si>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</si>
  <si>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</si>
  <si>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</si>
  <si>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</si>
  <si>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</si>
  <si>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</si>
  <si>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</si>
  <si>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</si>
  <si>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</si>
  <si>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</si>
  <si>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</si>
  <si>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</si>
  <si>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</si>
  <si>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</si>
  <si>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</si>
  <si>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</si>
  <si>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</si>
  <si>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</si>
  <si>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</si>
  <si>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</si>
  <si>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</si>
  <si>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</si>
  <si>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</si>
  <si>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</si>
  <si>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</si>
  <si>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</si>
  <si>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</si>
  <si>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</si>
  <si>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</si>
  <si>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</si>
  <si>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</si>
  <si>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</si>
  <si>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</si>
  <si>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</si>
  <si>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</si>
  <si>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</si>
  <si>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</si>
  <si>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</si>
  <si>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</si>
  <si>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</si>
  <si>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</si>
  <si>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</si>
  <si>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</si>
  <si>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</si>
  <si>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</si>
  <si>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</si>
  <si>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</si>
  <si>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</si>
  <si>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</si>
  <si>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</si>
  <si>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</si>
  <si>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</si>
  <si>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</si>
  <si>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</si>
  <si>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</si>
  <si>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</si>
  <si>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</si>
  <si>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</si>
  <si>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</si>
  <si>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</si>
  <si>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</si>
  <si>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</si>
  <si>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</si>
  <si>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</si>
  <si>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</si>
  <si>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</si>
  <si>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</si>
  <si>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</si>
  <si>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</si>
  <si>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</si>
  <si>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</si>
  <si>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</si>
  <si>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</si>
  <si>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</si>
  <si>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</si>
  <si>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</si>
  <si>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</si>
  <si>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</si>
  <si>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</si>
  <si>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</si>
  <si>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</si>
  <si>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</si>
  <si>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</si>
  <si>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</si>
  <si>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</si>
  <si>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</si>
  <si>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</si>
  <si>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</si>
  <si>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</si>
  <si>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</si>
  <si>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</si>
  <si>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</si>
  <si>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</si>
  <si>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</si>
  <si>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</si>
  <si>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</si>
  <si>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</si>
  <si>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</si>
  <si>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</si>
  <si>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</si>
  <si>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</si>
  <si>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</si>
  <si>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</si>
  <si>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</si>
  <si>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</si>
  <si>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</si>
  <si>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</si>
  <si>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</si>
  <si>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</si>
  <si>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</si>
  <si>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</si>
  <si>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</si>
  <si>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</si>
  <si>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</si>
  <si>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</si>
  <si>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</si>
  <si>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</si>
  <si>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</si>
  <si>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</si>
  <si>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</si>
  <si>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</si>
  <si>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</si>
  <si>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</si>
  <si>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</si>
  <si>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</si>
  <si>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</si>
  <si>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</si>
  <si>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</si>
  <si>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</si>
  <si>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</si>
  <si>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</si>
  <si>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</si>
  <si>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</si>
  <si>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</si>
  <si>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</si>
  <si>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</si>
  <si>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</si>
  <si>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</si>
  <si>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</si>
  <si>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</si>
  <si>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</si>
  <si>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</si>
  <si>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</si>
  <si>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</si>
  <si>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</si>
  <si>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</si>
  <si>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</si>
  <si>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</si>
  <si>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</si>
  <si>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</si>
  <si>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</si>
  <si>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</si>
  <si>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</si>
  <si>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</si>
  <si>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</si>
  <si>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</si>
  <si>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</si>
  <si>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</si>
  <si>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</si>
  <si>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</si>
  <si>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</si>
  <si>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</si>
  <si>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</si>
  <si>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</si>
  <si>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</si>
  <si>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</si>
  <si>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</si>
  <si>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</si>
  <si>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</si>
  <si>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</si>
  <si>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</si>
  <si>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</si>
  <si>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</si>
  <si>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</si>
  <si>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</si>
  <si>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</si>
  <si>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</si>
  <si>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</si>
  <si>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</si>
  <si>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</si>
  <si>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</si>
  <si>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</si>
  <si>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</si>
  <si>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</si>
  <si>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</si>
  <si>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</si>
  <si>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</si>
  <si>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</si>
  <si>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</si>
  <si>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</si>
  <si>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</si>
  <si>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</si>
  <si>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</si>
  <si>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</si>
  <si>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</si>
  <si>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</si>
  <si>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</si>
  <si>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</si>
  <si>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</si>
  <si>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</si>
  <si>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</si>
  <si>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</si>
  <si>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</si>
  <si>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</si>
  <si>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</si>
  <si>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</si>
  <si>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</si>
  <si>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</si>
  <si>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</si>
  <si>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</si>
  <si>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</si>
  <si>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</si>
  <si>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</si>
  <si>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</si>
  <si>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</si>
  <si>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</si>
  <si>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</si>
  <si>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</si>
  <si>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</si>
  <si>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</si>
  <si>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</si>
  <si>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</si>
  <si>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</si>
  <si>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</si>
  <si>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</si>
  <si>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</si>
  <si>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</si>
  <si>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</si>
  <si>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</si>
  <si>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</si>
  <si>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</si>
  <si>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</si>
  <si>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</si>
  <si>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</si>
  <si>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</si>
  <si>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</si>
  <si>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</si>
  <si>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</si>
  <si>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</si>
  <si>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</si>
  <si>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</si>
  <si>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</si>
  <si>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</si>
  <si>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</si>
  <si>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</si>
  <si>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</si>
  <si>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</si>
  <si>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</si>
  <si>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</si>
  <si>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</si>
  <si>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</si>
  <si>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</si>
  <si>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</si>
  <si>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</si>
  <si>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</si>
  <si>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</si>
  <si>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</si>
  <si>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</si>
  <si>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</si>
  <si>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</si>
  <si>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</si>
  <si>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</si>
  <si>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</si>
  <si>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</si>
  <si>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</si>
  <si>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</si>
  <si>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</si>
  <si>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</si>
  <si>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</si>
  <si>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</si>
  <si>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</si>
  <si>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</si>
  <si>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</si>
  <si>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</si>
  <si>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</si>
  <si>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</si>
  <si>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</si>
  <si>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</si>
  <si>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</si>
  <si>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</si>
  <si>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</si>
  <si>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</si>
  <si>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</si>
  <si>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</si>
  <si>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</si>
  <si>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</si>
  <si>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</si>
  <si>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</si>
  <si>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</si>
  <si>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</si>
  <si>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</si>
  <si>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</si>
  <si>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</si>
  <si>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</si>
  <si>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</si>
  <si>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</si>
  <si>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</si>
  <si>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</si>
  <si>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</si>
  <si>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</si>
  <si>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</si>
  <si>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</si>
  <si>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</si>
  <si>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</si>
  <si>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</si>
  <si>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</si>
  <si>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</si>
  <si>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</si>
  <si>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</si>
  <si>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</si>
  <si>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</si>
  <si>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</si>
  <si>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</si>
  <si>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</si>
  <si>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</si>
  <si>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</si>
  <si>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</si>
  <si>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</si>
  <si>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</si>
  <si>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</si>
  <si>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</si>
  <si>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</si>
  <si>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</si>
  <si>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</si>
  <si>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</si>
  <si>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</si>
  <si>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</si>
  <si>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</si>
  <si>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</si>
  <si>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</si>
  <si>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</si>
  <si>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</si>
  <si>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</si>
  <si>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</si>
  <si>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</si>
  <si>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</si>
  <si>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</si>
  <si>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</si>
  <si>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</si>
  <si>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</si>
  <si>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</si>
  <si>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</si>
  <si>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</si>
  <si>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</si>
  <si>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</si>
  <si>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</si>
  <si>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</si>
  <si>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</si>
  <si>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</si>
  <si>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</si>
  <si>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</si>
  <si>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</si>
  <si>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</si>
  <si>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</si>
  <si>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</si>
  <si>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</si>
  <si>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</si>
  <si>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</si>
  <si>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</si>
  <si>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</si>
  <si>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</si>
  <si>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</si>
  <si>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</si>
  <si>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</si>
  <si>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</si>
  <si>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</si>
  <si>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</si>
  <si>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</si>
  <si>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</si>
  <si>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</si>
  <si>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</si>
  <si>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</si>
  <si>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</si>
  <si>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</si>
  <si>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</si>
  <si>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</si>
  <si>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</si>
  <si>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</si>
  <si>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</si>
  <si>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</si>
  <si>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</si>
  <si>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</si>
  <si>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</si>
  <si>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</si>
  <si>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</si>
  <si>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</si>
  <si>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</si>
  <si>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</si>
  <si>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</si>
  <si>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</si>
  <si>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</si>
  <si>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</si>
  <si>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</si>
  <si>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</si>
  <si>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</si>
  <si>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</si>
  <si>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</si>
  <si>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</si>
  <si>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</si>
  <si>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</si>
  <si>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</si>
  <si>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</si>
  <si>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</si>
  <si>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</si>
  <si>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</si>
  <si>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</si>
  <si>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</si>
  <si>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</si>
  <si>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</si>
  <si>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</si>
  <si>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</si>
  <si>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</si>
  <si>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</si>
  <si>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</si>
  <si>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</si>
  <si>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</si>
  <si>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</si>
  <si>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</si>
  <si>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</si>
  <si>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</si>
  <si>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</si>
  <si>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</si>
  <si>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</si>
  <si>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</si>
  <si>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</si>
  <si>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</si>
  <si>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</si>
  <si>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</si>
  <si>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</si>
  <si>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</si>
  <si>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</si>
  <si>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</si>
  <si>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</si>
  <si>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</si>
  <si>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</si>
  <si>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</si>
  <si>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</si>
  <si>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</si>
  <si>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</si>
  <si>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</si>
  <si>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</si>
  <si>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</si>
  <si>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</si>
  <si>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</si>
  <si>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</si>
  <si>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</si>
  <si>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</si>
  <si>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</si>
  <si>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</si>
  <si>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</si>
  <si>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</si>
  <si>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</si>
  <si>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</si>
  <si>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</si>
  <si>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</si>
  <si>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</si>
  <si>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</si>
  <si>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</si>
  <si>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</si>
  <si>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24130</t>
  </si>
  <si>
    <t>ZOUTLEEUW</t>
  </si>
  <si>
    <t>Fluvius</t>
  </si>
  <si>
    <t>referentietaak LNE (2017); Jaarverslag De Lijn</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</si>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</sst>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73436.474047477561</c:v>
                </c:pt>
                <c:pt idx="1">
                  <c:v>46304.129371644645</c:v>
                </c:pt>
                <c:pt idx="2">
                  <c:v>574.27200000000005</c:v>
                </c:pt>
                <c:pt idx="3">
                  <c:v>12836.058374673623</c:v>
                </c:pt>
                <c:pt idx="4">
                  <c:v>2005.9882227532466</c:v>
                </c:pt>
                <c:pt idx="5">
                  <c:v>40154.538964390886</c:v>
                </c:pt>
                <c:pt idx="6">
                  <c:v>1084.0099868882044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73436.474047477561</c:v>
                </c:pt>
                <c:pt idx="1">
                  <c:v>46304.129371644645</c:v>
                </c:pt>
                <c:pt idx="2">
                  <c:v>574.27200000000005</c:v>
                </c:pt>
                <c:pt idx="3">
                  <c:v>12836.058374673623</c:v>
                </c:pt>
                <c:pt idx="4">
                  <c:v>2005.9882227532466</c:v>
                </c:pt>
                <c:pt idx="5">
                  <c:v>40154.538964390886</c:v>
                </c:pt>
                <c:pt idx="6">
                  <c:v>1084.0099868882044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15056.250182972499</c:v>
                </c:pt>
                <c:pt idx="2">
                  <c:v>5041.3526360214682</c:v>
                </c:pt>
                <c:pt idx="3">
                  <c:v>80.861210362604297</c:v>
                </c:pt>
                <c:pt idx="4">
                  <c:v>3138.1988044093127</c:v>
                </c:pt>
                <c:pt idx="5">
                  <c:v>378.06564656252516</c:v>
                </c:pt>
                <c:pt idx="6">
                  <c:v>10038.458056630318</c:v>
                </c:pt>
                <c:pt idx="7">
                  <c:v>272.46465487755427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15056.250182972499</c:v>
                </c:pt>
                <c:pt idx="2">
                  <c:v>5041.3526360214682</c:v>
                </c:pt>
                <c:pt idx="3">
                  <c:v>80.861210362604297</c:v>
                </c:pt>
                <c:pt idx="4">
                  <c:v>3138.1988044093127</c:v>
                </c:pt>
                <c:pt idx="5">
                  <c:v>378.06564656252516</c:v>
                </c:pt>
                <c:pt idx="6">
                  <c:v>10038.458056630318</c:v>
                </c:pt>
                <c:pt idx="7">
                  <c:v>272.46465487755427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24130</v>
      </c>
      <c r="B6" s="384"/>
      <c r="C6" s="385"/>
    </row>
    <row r="7" spans="1:7" s="382" customFormat="1" ht="15.75" customHeight="1">
      <c r="A7" s="386" t="str">
        <f>txtMunicipality</f>
        <v>ZOUTLEEUW</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23984.303949999998</v>
      </c>
      <c r="D10" s="973">
        <f ca="1">tertiair!C16</f>
        <v>15075</v>
      </c>
      <c r="E10" s="973">
        <f ca="1">tertiair!D16</f>
        <v>5015.3107730000002</v>
      </c>
      <c r="F10" s="973">
        <f>tertiair!E16</f>
        <v>288.71428517869845</v>
      </c>
      <c r="G10" s="973">
        <f ca="1">tertiair!F16</f>
        <v>2495.9557216155258</v>
      </c>
      <c r="H10" s="973">
        <f>tertiair!G16</f>
        <v>0</v>
      </c>
      <c r="I10" s="973">
        <f>tertiair!H16</f>
        <v>0</v>
      </c>
      <c r="J10" s="973">
        <f>tertiair!I16</f>
        <v>0</v>
      </c>
      <c r="K10" s="973">
        <f>tertiair!J16</f>
        <v>4.9975183764747466E-2</v>
      </c>
      <c r="L10" s="973">
        <f>tertiair!K16</f>
        <v>0</v>
      </c>
      <c r="M10" s="973">
        <f ca="1">tertiair!L16</f>
        <v>0</v>
      </c>
      <c r="N10" s="973">
        <f>tertiair!M16</f>
        <v>0</v>
      </c>
      <c r="O10" s="973">
        <f ca="1">tertiair!N16</f>
        <v>0</v>
      </c>
      <c r="P10" s="973">
        <f>tertiair!O16</f>
        <v>0</v>
      </c>
      <c r="Q10" s="974">
        <f>tertiair!P16</f>
        <v>19.066666666666666</v>
      </c>
      <c r="R10" s="668">
        <f ca="1">SUM(C10:Q10)</f>
        <v>46878.40137164465</v>
      </c>
      <c r="S10" s="67"/>
    </row>
    <row r="11" spans="1:19" s="441" customFormat="1">
      <c r="A11" s="777" t="s">
        <v>219</v>
      </c>
      <c r="B11" s="782"/>
      <c r="C11" s="973">
        <f>huishoudens!B8</f>
        <v>14562.59843898235</v>
      </c>
      <c r="D11" s="973">
        <f>huishoudens!C8</f>
        <v>0</v>
      </c>
      <c r="E11" s="973">
        <f>huishoudens!D8</f>
        <v>14796.048147100002</v>
      </c>
      <c r="F11" s="973">
        <f>huishoudens!E8</f>
        <v>1423.924778031849</v>
      </c>
      <c r="G11" s="973">
        <f>huishoudens!F8</f>
        <v>36075.871105414939</v>
      </c>
      <c r="H11" s="973">
        <f>huishoudens!G8</f>
        <v>0</v>
      </c>
      <c r="I11" s="973">
        <f>huishoudens!H8</f>
        <v>0</v>
      </c>
      <c r="J11" s="973">
        <f>huishoudens!I8</f>
        <v>0</v>
      </c>
      <c r="K11" s="973">
        <f>huishoudens!J8</f>
        <v>173.59304436389334</v>
      </c>
      <c r="L11" s="973">
        <f>huishoudens!K8</f>
        <v>0</v>
      </c>
      <c r="M11" s="973">
        <f>huishoudens!L8</f>
        <v>0</v>
      </c>
      <c r="N11" s="973">
        <f>huishoudens!M8</f>
        <v>0</v>
      </c>
      <c r="O11" s="973">
        <f>huishoudens!N8</f>
        <v>5601.0952002512095</v>
      </c>
      <c r="P11" s="973">
        <f>huishoudens!O8</f>
        <v>136.01000000000002</v>
      </c>
      <c r="Q11" s="974">
        <f>huishoudens!P8</f>
        <v>667.33333333333337</v>
      </c>
      <c r="R11" s="668">
        <f>SUM(C11:Q11)</f>
        <v>73436.474047477561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768.91430000000003</v>
      </c>
      <c r="D13" s="973">
        <f>industrie!C18</f>
        <v>0</v>
      </c>
      <c r="E13" s="973">
        <f>industrie!D18</f>
        <v>581.87695280000003</v>
      </c>
      <c r="F13" s="973">
        <f>industrie!E18</f>
        <v>154.5542406488216</v>
      </c>
      <c r="G13" s="973">
        <f>industrie!F18</f>
        <v>438.80772048669587</v>
      </c>
      <c r="H13" s="973">
        <f>industrie!G18</f>
        <v>0</v>
      </c>
      <c r="I13" s="973">
        <f>industrie!H18</f>
        <v>0</v>
      </c>
      <c r="J13" s="973">
        <f>industrie!I18</f>
        <v>0</v>
      </c>
      <c r="K13" s="973">
        <f>industrie!J18</f>
        <v>3.6507069827068098E-2</v>
      </c>
      <c r="L13" s="973">
        <f>industrie!K18</f>
        <v>0</v>
      </c>
      <c r="M13" s="973">
        <f>industrie!L18</f>
        <v>0</v>
      </c>
      <c r="N13" s="973">
        <f>industrie!M18</f>
        <v>0</v>
      </c>
      <c r="O13" s="973">
        <f>industrie!N18</f>
        <v>61.798501747901817</v>
      </c>
      <c r="P13" s="973">
        <f>industrie!O18</f>
        <v>0</v>
      </c>
      <c r="Q13" s="974">
        <f>industrie!P18</f>
        <v>0</v>
      </c>
      <c r="R13" s="668">
        <f>SUM(C13:Q13)</f>
        <v>2005.9882227532466</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39315.816688982341</v>
      </c>
      <c r="D16" s="700">
        <f t="shared" ref="D16:R16" ca="1" si="0">SUM(D9:D15)</f>
        <v>15075</v>
      </c>
      <c r="E16" s="700">
        <f t="shared" ca="1" si="0"/>
        <v>20393.235872900004</v>
      </c>
      <c r="F16" s="700">
        <f t="shared" si="0"/>
        <v>1867.1933038593691</v>
      </c>
      <c r="G16" s="700">
        <f t="shared" ca="1" si="0"/>
        <v>39010.634547517155</v>
      </c>
      <c r="H16" s="700">
        <f t="shared" si="0"/>
        <v>0</v>
      </c>
      <c r="I16" s="700">
        <f t="shared" si="0"/>
        <v>0</v>
      </c>
      <c r="J16" s="700">
        <f t="shared" si="0"/>
        <v>0</v>
      </c>
      <c r="K16" s="700">
        <f t="shared" si="0"/>
        <v>173.67952661748518</v>
      </c>
      <c r="L16" s="700">
        <f t="shared" si="0"/>
        <v>0</v>
      </c>
      <c r="M16" s="700">
        <f t="shared" ca="1" si="0"/>
        <v>0</v>
      </c>
      <c r="N16" s="700">
        <f t="shared" si="0"/>
        <v>0</v>
      </c>
      <c r="O16" s="700">
        <f t="shared" ca="1" si="0"/>
        <v>5662.8937019991117</v>
      </c>
      <c r="P16" s="700">
        <f t="shared" si="0"/>
        <v>136.01000000000002</v>
      </c>
      <c r="Q16" s="700">
        <f t="shared" si="0"/>
        <v>686.40000000000009</v>
      </c>
      <c r="R16" s="700">
        <f t="shared" ca="1" si="0"/>
        <v>122320.86364187546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10.802313278204377</v>
      </c>
      <c r="D19" s="973">
        <f>transport!C54</f>
        <v>0</v>
      </c>
      <c r="E19" s="973">
        <f>transport!D54</f>
        <v>0</v>
      </c>
      <c r="F19" s="973">
        <f>transport!E54</f>
        <v>0</v>
      </c>
      <c r="G19" s="973">
        <f>transport!F54</f>
        <v>0</v>
      </c>
      <c r="H19" s="973">
        <f>transport!G54</f>
        <v>1014.7701098474053</v>
      </c>
      <c r="I19" s="973">
        <f>transport!H54</f>
        <v>0</v>
      </c>
      <c r="J19" s="973">
        <f>transport!I54</f>
        <v>0</v>
      </c>
      <c r="K19" s="973">
        <f>transport!J54</f>
        <v>0</v>
      </c>
      <c r="L19" s="973">
        <f>transport!K54</f>
        <v>0</v>
      </c>
      <c r="M19" s="973">
        <f>transport!L54</f>
        <v>0</v>
      </c>
      <c r="N19" s="973">
        <f>transport!M54</f>
        <v>58.437563762594571</v>
      </c>
      <c r="O19" s="973">
        <f>transport!N54</f>
        <v>0</v>
      </c>
      <c r="P19" s="973">
        <f>transport!O54</f>
        <v>0</v>
      </c>
      <c r="Q19" s="974">
        <f>transport!P54</f>
        <v>0</v>
      </c>
      <c r="R19" s="668">
        <f>SUM(C19:Q19)</f>
        <v>1084.0099868882044</v>
      </c>
      <c r="S19" s="67"/>
    </row>
    <row r="20" spans="1:19" s="441" customFormat="1">
      <c r="A20" s="777" t="s">
        <v>301</v>
      </c>
      <c r="B20" s="782"/>
      <c r="C20" s="973">
        <f>transport!B14</f>
        <v>25.11546336170618</v>
      </c>
      <c r="D20" s="973">
        <f>transport!C14</f>
        <v>0</v>
      </c>
      <c r="E20" s="973">
        <f>transport!D14</f>
        <v>49.081399173598932</v>
      </c>
      <c r="F20" s="973">
        <f>transport!E14</f>
        <v>83.929355400480929</v>
      </c>
      <c r="G20" s="973">
        <f>transport!F14</f>
        <v>0</v>
      </c>
      <c r="H20" s="973">
        <f>transport!G14</f>
        <v>30181.087807595362</v>
      </c>
      <c r="I20" s="973">
        <f>transport!H14</f>
        <v>7821.7059681785668</v>
      </c>
      <c r="J20" s="973">
        <f>transport!I14</f>
        <v>0</v>
      </c>
      <c r="K20" s="973">
        <f>transport!J14</f>
        <v>0</v>
      </c>
      <c r="L20" s="973">
        <f>transport!K14</f>
        <v>0</v>
      </c>
      <c r="M20" s="973">
        <f>transport!L14</f>
        <v>0</v>
      </c>
      <c r="N20" s="973">
        <f>transport!M14</f>
        <v>1993.618970681169</v>
      </c>
      <c r="O20" s="973">
        <f>transport!N14</f>
        <v>0</v>
      </c>
      <c r="P20" s="973">
        <f>transport!O14</f>
        <v>0</v>
      </c>
      <c r="Q20" s="974">
        <f>transport!P14</f>
        <v>0</v>
      </c>
      <c r="R20" s="668">
        <f>SUM(C20:Q20)</f>
        <v>40154.538964390886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35.917776639910556</v>
      </c>
      <c r="D22" s="780">
        <f t="shared" ref="D22:R22" si="1">SUM(D18:D21)</f>
        <v>0</v>
      </c>
      <c r="E22" s="780">
        <f t="shared" si="1"/>
        <v>49.081399173598932</v>
      </c>
      <c r="F22" s="780">
        <f t="shared" si="1"/>
        <v>83.929355400480929</v>
      </c>
      <c r="G22" s="780">
        <f t="shared" si="1"/>
        <v>0</v>
      </c>
      <c r="H22" s="780">
        <f t="shared" si="1"/>
        <v>31195.857917442769</v>
      </c>
      <c r="I22" s="780">
        <f t="shared" si="1"/>
        <v>7821.7059681785668</v>
      </c>
      <c r="J22" s="780">
        <f t="shared" si="1"/>
        <v>0</v>
      </c>
      <c r="K22" s="780">
        <f t="shared" si="1"/>
        <v>0</v>
      </c>
      <c r="L22" s="780">
        <f t="shared" si="1"/>
        <v>0</v>
      </c>
      <c r="M22" s="780">
        <f t="shared" si="1"/>
        <v>0</v>
      </c>
      <c r="N22" s="780">
        <f t="shared" si="1"/>
        <v>2052.0565344437637</v>
      </c>
      <c r="O22" s="780">
        <f t="shared" si="1"/>
        <v>0</v>
      </c>
      <c r="P22" s="780">
        <f t="shared" si="1"/>
        <v>0</v>
      </c>
      <c r="Q22" s="780">
        <f t="shared" si="1"/>
        <v>0</v>
      </c>
      <c r="R22" s="780">
        <f t="shared" si="1"/>
        <v>41238.548951279088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2346.962</v>
      </c>
      <c r="D24" s="973">
        <f>+landbouw!C8</f>
        <v>0</v>
      </c>
      <c r="E24" s="973">
        <f>+landbouw!D8</f>
        <v>302.77073200000001</v>
      </c>
      <c r="F24" s="973">
        <f>+landbouw!E8</f>
        <v>68.984381629341172</v>
      </c>
      <c r="G24" s="973">
        <f>+landbouw!F8</f>
        <v>9777.3168688301739</v>
      </c>
      <c r="H24" s="973">
        <f>+landbouw!G8</f>
        <v>0</v>
      </c>
      <c r="I24" s="973">
        <f>+landbouw!H8</f>
        <v>0</v>
      </c>
      <c r="J24" s="973">
        <f>+landbouw!I8</f>
        <v>0</v>
      </c>
      <c r="K24" s="973">
        <f>+landbouw!J8</f>
        <v>340.02439221410873</v>
      </c>
      <c r="L24" s="973">
        <f>+landbouw!K8</f>
        <v>0</v>
      </c>
      <c r="M24" s="973">
        <f>+landbouw!L8</f>
        <v>0</v>
      </c>
      <c r="N24" s="973">
        <f>+landbouw!M8</f>
        <v>0</v>
      </c>
      <c r="O24" s="973">
        <f>+landbouw!N8</f>
        <v>0</v>
      </c>
      <c r="P24" s="973">
        <f>+landbouw!O8</f>
        <v>0</v>
      </c>
      <c r="Q24" s="974">
        <f>+landbouw!P8</f>
        <v>0</v>
      </c>
      <c r="R24" s="668">
        <f>SUM(C24:Q24)</f>
        <v>12836.058374673623</v>
      </c>
      <c r="S24" s="67"/>
    </row>
    <row r="25" spans="1:19" s="441" customFormat="1" ht="15" thickBot="1">
      <c r="A25" s="799" t="s">
        <v>808</v>
      </c>
      <c r="B25" s="976"/>
      <c r="C25" s="977">
        <f>IF(Onbekend_ele_kWh="---",0,Onbekend_ele_kWh)/1000+IF(REST_rest_ele_kWh="---",0,REST_rest_ele_kWh)/1000</f>
        <v>347.29924999999997</v>
      </c>
      <c r="D25" s="977"/>
      <c r="E25" s="977">
        <f>IF(onbekend_gas_kWh="---",0,onbekend_gas_kWh)/1000+IF(REST_rest_gas_kWh="---",0,REST_rest_gas_kWh)/1000</f>
        <v>1356.3352</v>
      </c>
      <c r="F25" s="977"/>
      <c r="G25" s="977"/>
      <c r="H25" s="977"/>
      <c r="I25" s="977"/>
      <c r="J25" s="977"/>
      <c r="K25" s="977"/>
      <c r="L25" s="977"/>
      <c r="M25" s="977"/>
      <c r="N25" s="977"/>
      <c r="O25" s="977"/>
      <c r="P25" s="977"/>
      <c r="Q25" s="978"/>
      <c r="R25" s="668">
        <f>SUM(C25:Q25)</f>
        <v>1703.63445</v>
      </c>
      <c r="S25" s="67"/>
    </row>
    <row r="26" spans="1:19" s="441" customFormat="1" ht="15.75" thickBot="1">
      <c r="A26" s="673" t="s">
        <v>809</v>
      </c>
      <c r="B26" s="785"/>
      <c r="C26" s="780">
        <f>SUM(C24:C25)</f>
        <v>2694.26125</v>
      </c>
      <c r="D26" s="780">
        <f t="shared" ref="D26:R26" si="2">SUM(D24:D25)</f>
        <v>0</v>
      </c>
      <c r="E26" s="780">
        <f t="shared" si="2"/>
        <v>1659.1059319999999</v>
      </c>
      <c r="F26" s="780">
        <f t="shared" si="2"/>
        <v>68.984381629341172</v>
      </c>
      <c r="G26" s="780">
        <f t="shared" si="2"/>
        <v>9777.3168688301739</v>
      </c>
      <c r="H26" s="780">
        <f t="shared" si="2"/>
        <v>0</v>
      </c>
      <c r="I26" s="780">
        <f t="shared" si="2"/>
        <v>0</v>
      </c>
      <c r="J26" s="780">
        <f t="shared" si="2"/>
        <v>0</v>
      </c>
      <c r="K26" s="780">
        <f t="shared" si="2"/>
        <v>340.02439221410873</v>
      </c>
      <c r="L26" s="780">
        <f t="shared" si="2"/>
        <v>0</v>
      </c>
      <c r="M26" s="780">
        <f t="shared" si="2"/>
        <v>0</v>
      </c>
      <c r="N26" s="780">
        <f t="shared" si="2"/>
        <v>0</v>
      </c>
      <c r="O26" s="780">
        <f t="shared" si="2"/>
        <v>0</v>
      </c>
      <c r="P26" s="780">
        <f t="shared" si="2"/>
        <v>0</v>
      </c>
      <c r="Q26" s="780">
        <f t="shared" si="2"/>
        <v>0</v>
      </c>
      <c r="R26" s="780">
        <f t="shared" si="2"/>
        <v>14539.692824673622</v>
      </c>
      <c r="S26" s="67"/>
    </row>
    <row r="27" spans="1:19" s="441" customFormat="1" ht="17.25" thickTop="1" thickBot="1">
      <c r="A27" s="674" t="s">
        <v>115</v>
      </c>
      <c r="B27" s="773"/>
      <c r="C27" s="675">
        <f ca="1">C22+C16+C26</f>
        <v>42045.995715622252</v>
      </c>
      <c r="D27" s="675">
        <f t="shared" ref="D27:R27" ca="1" si="3">D22+D16+D26</f>
        <v>15075</v>
      </c>
      <c r="E27" s="675">
        <f t="shared" ca="1" si="3"/>
        <v>22101.423204073602</v>
      </c>
      <c r="F27" s="675">
        <f t="shared" si="3"/>
        <v>2020.1070408891912</v>
      </c>
      <c r="G27" s="675">
        <f t="shared" ca="1" si="3"/>
        <v>48787.951416347329</v>
      </c>
      <c r="H27" s="675">
        <f t="shared" si="3"/>
        <v>31195.857917442769</v>
      </c>
      <c r="I27" s="675">
        <f t="shared" si="3"/>
        <v>7821.7059681785668</v>
      </c>
      <c r="J27" s="675">
        <f t="shared" si="3"/>
        <v>0</v>
      </c>
      <c r="K27" s="675">
        <f t="shared" si="3"/>
        <v>513.70391883159391</v>
      </c>
      <c r="L27" s="675">
        <f t="shared" si="3"/>
        <v>0</v>
      </c>
      <c r="M27" s="675">
        <f t="shared" ca="1" si="3"/>
        <v>0</v>
      </c>
      <c r="N27" s="675">
        <f t="shared" si="3"/>
        <v>2052.0565344437637</v>
      </c>
      <c r="O27" s="675">
        <f t="shared" ca="1" si="3"/>
        <v>5662.8937019991117</v>
      </c>
      <c r="P27" s="675">
        <f t="shared" si="3"/>
        <v>136.01000000000002</v>
      </c>
      <c r="Q27" s="675">
        <f t="shared" si="3"/>
        <v>686.40000000000009</v>
      </c>
      <c r="R27" s="675">
        <f t="shared" ca="1" si="3"/>
        <v>178099.10541782819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3377.14505861611</v>
      </c>
      <c r="D40" s="973">
        <f ca="1">tertiair!C20</f>
        <v>0</v>
      </c>
      <c r="E40" s="973">
        <f ca="1">tertiair!D20</f>
        <v>1013.0927761460001</v>
      </c>
      <c r="F40" s="973">
        <f>tertiair!E20</f>
        <v>65.538142735564549</v>
      </c>
      <c r="G40" s="973">
        <f ca="1">tertiair!F20</f>
        <v>666.42017767134541</v>
      </c>
      <c r="H40" s="973">
        <f>tertiair!G20</f>
        <v>0</v>
      </c>
      <c r="I40" s="973">
        <f>tertiair!H20</f>
        <v>0</v>
      </c>
      <c r="J40" s="973">
        <f>tertiair!I20</f>
        <v>0</v>
      </c>
      <c r="K40" s="973">
        <f>tertiair!J20</f>
        <v>1.7691215052720602E-2</v>
      </c>
      <c r="L40" s="973">
        <f>tertiair!K20</f>
        <v>0</v>
      </c>
      <c r="M40" s="973">
        <f ca="1">tertiair!L20</f>
        <v>0</v>
      </c>
      <c r="N40" s="973">
        <f>tertiair!M20</f>
        <v>0</v>
      </c>
      <c r="O40" s="973">
        <f ca="1">tertiair!N20</f>
        <v>0</v>
      </c>
      <c r="P40" s="973">
        <f>tertiair!O20</f>
        <v>0</v>
      </c>
      <c r="Q40" s="742">
        <f>tertiair!P20</f>
        <v>0</v>
      </c>
      <c r="R40" s="818">
        <f t="shared" ca="1" si="4"/>
        <v>5122.213846384072</v>
      </c>
    </row>
    <row r="41" spans="1:18">
      <c r="A41" s="790" t="s">
        <v>219</v>
      </c>
      <c r="B41" s="797"/>
      <c r="C41" s="973">
        <f ca="1">huishoudens!B12</f>
        <v>2050.508009794461</v>
      </c>
      <c r="D41" s="973">
        <f ca="1">huishoudens!C12</f>
        <v>0</v>
      </c>
      <c r="E41" s="973">
        <f>huishoudens!D12</f>
        <v>2988.8017257142005</v>
      </c>
      <c r="F41" s="973">
        <f>huishoudens!E12</f>
        <v>323.23092461322972</v>
      </c>
      <c r="G41" s="973">
        <f>huishoudens!F12</f>
        <v>9632.2575851457896</v>
      </c>
      <c r="H41" s="973">
        <f>huishoudens!G12</f>
        <v>0</v>
      </c>
      <c r="I41" s="973">
        <f>huishoudens!H12</f>
        <v>0</v>
      </c>
      <c r="J41" s="973">
        <f>huishoudens!I12</f>
        <v>0</v>
      </c>
      <c r="K41" s="973">
        <f>huishoudens!J12</f>
        <v>61.451937704818242</v>
      </c>
      <c r="L41" s="973">
        <f>huishoudens!K12</f>
        <v>0</v>
      </c>
      <c r="M41" s="973">
        <f>huishoudens!L12</f>
        <v>0</v>
      </c>
      <c r="N41" s="973">
        <f>huishoudens!M12</f>
        <v>0</v>
      </c>
      <c r="O41" s="973">
        <f>huishoudens!N12</f>
        <v>0</v>
      </c>
      <c r="P41" s="973">
        <f>huishoudens!O12</f>
        <v>0</v>
      </c>
      <c r="Q41" s="742">
        <f>huishoudens!P12</f>
        <v>0</v>
      </c>
      <c r="R41" s="818">
        <f t="shared" ca="1" si="4"/>
        <v>15056.250182972499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108.26810459697604</v>
      </c>
      <c r="D43" s="973">
        <f ca="1">industrie!C22</f>
        <v>0</v>
      </c>
      <c r="E43" s="973">
        <f>industrie!D22</f>
        <v>117.53914446560002</v>
      </c>
      <c r="F43" s="973">
        <f>industrie!E22</f>
        <v>35.083812627282505</v>
      </c>
      <c r="G43" s="973">
        <f>industrie!F22</f>
        <v>117.16166136994781</v>
      </c>
      <c r="H43" s="973">
        <f>industrie!G22</f>
        <v>0</v>
      </c>
      <c r="I43" s="973">
        <f>industrie!H22</f>
        <v>0</v>
      </c>
      <c r="J43" s="973">
        <f>industrie!I22</f>
        <v>0</v>
      </c>
      <c r="K43" s="973">
        <f>industrie!J22</f>
        <v>1.2923502718782107E-2</v>
      </c>
      <c r="L43" s="973">
        <f>industrie!K22</f>
        <v>0</v>
      </c>
      <c r="M43" s="973">
        <f>industrie!L22</f>
        <v>0</v>
      </c>
      <c r="N43" s="973">
        <f>industrie!M22</f>
        <v>0</v>
      </c>
      <c r="O43" s="973">
        <f>industrie!N22</f>
        <v>0</v>
      </c>
      <c r="P43" s="973">
        <f>industrie!O22</f>
        <v>0</v>
      </c>
      <c r="Q43" s="742">
        <f>industrie!P22</f>
        <v>0</v>
      </c>
      <c r="R43" s="817">
        <f t="shared" ca="1" si="4"/>
        <v>378.06564656252516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5535.9211730075467</v>
      </c>
      <c r="D46" s="700">
        <f t="shared" ref="D46:Q46" ca="1" si="5">SUM(D39:D45)</f>
        <v>0</v>
      </c>
      <c r="E46" s="700">
        <f t="shared" ca="1" si="5"/>
        <v>4119.4336463258005</v>
      </c>
      <c r="F46" s="700">
        <f t="shared" si="5"/>
        <v>423.85287997607674</v>
      </c>
      <c r="G46" s="700">
        <f t="shared" ca="1" si="5"/>
        <v>10415.839424187083</v>
      </c>
      <c r="H46" s="700">
        <f t="shared" si="5"/>
        <v>0</v>
      </c>
      <c r="I46" s="700">
        <f t="shared" si="5"/>
        <v>0</v>
      </c>
      <c r="J46" s="700">
        <f t="shared" si="5"/>
        <v>0</v>
      </c>
      <c r="K46" s="700">
        <f t="shared" si="5"/>
        <v>61.482552422589748</v>
      </c>
      <c r="L46" s="700">
        <f t="shared" si="5"/>
        <v>0</v>
      </c>
      <c r="M46" s="700">
        <f t="shared" ca="1" si="5"/>
        <v>0</v>
      </c>
      <c r="N46" s="700">
        <f t="shared" si="5"/>
        <v>0</v>
      </c>
      <c r="O46" s="700">
        <f t="shared" ca="1" si="5"/>
        <v>0</v>
      </c>
      <c r="P46" s="700">
        <f t="shared" si="5"/>
        <v>0</v>
      </c>
      <c r="Q46" s="700">
        <f t="shared" si="5"/>
        <v>0</v>
      </c>
      <c r="R46" s="700">
        <f ca="1">SUM(R39:R45)</f>
        <v>20556.529675919097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1.5210355482970399</v>
      </c>
      <c r="D49" s="973">
        <f ca="1">transport!C58</f>
        <v>0</v>
      </c>
      <c r="E49" s="973">
        <f>transport!D58</f>
        <v>0</v>
      </c>
      <c r="F49" s="973">
        <f>transport!E58</f>
        <v>0</v>
      </c>
      <c r="G49" s="973">
        <f>transport!F58</f>
        <v>0</v>
      </c>
      <c r="H49" s="973">
        <f>transport!G58</f>
        <v>270.94361932925722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272.46465487755427</v>
      </c>
    </row>
    <row r="50" spans="1:18">
      <c r="A50" s="793" t="s">
        <v>301</v>
      </c>
      <c r="B50" s="803"/>
      <c r="C50" s="671">
        <f ca="1">transport!B18</f>
        <v>3.5364196169153366</v>
      </c>
      <c r="D50" s="671">
        <f>transport!C18</f>
        <v>0</v>
      </c>
      <c r="E50" s="671">
        <f>transport!D18</f>
        <v>9.9144426330669848</v>
      </c>
      <c r="F50" s="671">
        <f>transport!E18</f>
        <v>19.051963675909171</v>
      </c>
      <c r="G50" s="671">
        <f>transport!F18</f>
        <v>0</v>
      </c>
      <c r="H50" s="671">
        <f>transport!G18</f>
        <v>8058.3504446279621</v>
      </c>
      <c r="I50" s="671">
        <f>transport!H18</f>
        <v>1947.6047860764631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10038.458056630318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5.0574551652123763</v>
      </c>
      <c r="D52" s="700">
        <f t="shared" ref="D52:Q52" ca="1" si="6">SUM(D48:D51)</f>
        <v>0</v>
      </c>
      <c r="E52" s="700">
        <f t="shared" si="6"/>
        <v>9.9144426330669848</v>
      </c>
      <c r="F52" s="700">
        <f t="shared" si="6"/>
        <v>19.051963675909171</v>
      </c>
      <c r="G52" s="700">
        <f t="shared" si="6"/>
        <v>0</v>
      </c>
      <c r="H52" s="700">
        <f t="shared" si="6"/>
        <v>8329.2940639572189</v>
      </c>
      <c r="I52" s="700">
        <f t="shared" si="6"/>
        <v>1947.6047860764631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10310.922711507872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330.46742309400162</v>
      </c>
      <c r="D54" s="671">
        <f ca="1">+landbouw!C12</f>
        <v>0</v>
      </c>
      <c r="E54" s="671">
        <f>+landbouw!D12</f>
        <v>61.159687864000006</v>
      </c>
      <c r="F54" s="671">
        <f>+landbouw!E12</f>
        <v>15.659454629860447</v>
      </c>
      <c r="G54" s="671">
        <f>+landbouw!F12</f>
        <v>2610.5436039776564</v>
      </c>
      <c r="H54" s="671">
        <f>+landbouw!G12</f>
        <v>0</v>
      </c>
      <c r="I54" s="671">
        <f>+landbouw!H12</f>
        <v>0</v>
      </c>
      <c r="J54" s="671">
        <f>+landbouw!I12</f>
        <v>0</v>
      </c>
      <c r="K54" s="671">
        <f>+landbouw!J12</f>
        <v>120.36863484379448</v>
      </c>
      <c r="L54" s="671">
        <f>+landbouw!K12</f>
        <v>0</v>
      </c>
      <c r="M54" s="671">
        <f>+landbouw!L12</f>
        <v>0</v>
      </c>
      <c r="N54" s="671">
        <f>+landbouw!M12</f>
        <v>0</v>
      </c>
      <c r="O54" s="671">
        <f>+landbouw!N12</f>
        <v>0</v>
      </c>
      <c r="P54" s="671">
        <f>+landbouw!O12</f>
        <v>0</v>
      </c>
      <c r="Q54" s="672">
        <f>+landbouw!P12</f>
        <v>0</v>
      </c>
      <c r="R54" s="699">
        <f ca="1">SUM(C54:Q54)</f>
        <v>3138.1988044093127</v>
      </c>
    </row>
    <row r="55" spans="1:18" ht="15" thickBot="1">
      <c r="A55" s="793" t="s">
        <v>808</v>
      </c>
      <c r="B55" s="803"/>
      <c r="C55" s="671">
        <f ca="1">C25*'EF ele_warmte'!B12</f>
        <v>48.90197974657427</v>
      </c>
      <c r="D55" s="671"/>
      <c r="E55" s="671">
        <f>E25*EF_CO2_aardgas</f>
        <v>273.97971039999999</v>
      </c>
      <c r="F55" s="671"/>
      <c r="G55" s="671"/>
      <c r="H55" s="671"/>
      <c r="I55" s="671"/>
      <c r="J55" s="671"/>
      <c r="K55" s="671"/>
      <c r="L55" s="671"/>
      <c r="M55" s="671"/>
      <c r="N55" s="671"/>
      <c r="O55" s="671"/>
      <c r="P55" s="671"/>
      <c r="Q55" s="672"/>
      <c r="R55" s="699">
        <f ca="1">SUM(C55:Q55)</f>
        <v>322.88169014657427</v>
      </c>
    </row>
    <row r="56" spans="1:18" ht="15.75" thickBot="1">
      <c r="A56" s="791" t="s">
        <v>809</v>
      </c>
      <c r="B56" s="804"/>
      <c r="C56" s="700">
        <f ca="1">SUM(C54:C55)</f>
        <v>379.3694028405759</v>
      </c>
      <c r="D56" s="700">
        <f t="shared" ref="D56:Q56" ca="1" si="7">SUM(D54:D55)</f>
        <v>0</v>
      </c>
      <c r="E56" s="700">
        <f t="shared" si="7"/>
        <v>335.13939826399996</v>
      </c>
      <c r="F56" s="700">
        <f t="shared" si="7"/>
        <v>15.659454629860447</v>
      </c>
      <c r="G56" s="700">
        <f t="shared" si="7"/>
        <v>2610.5436039776564</v>
      </c>
      <c r="H56" s="700">
        <f t="shared" si="7"/>
        <v>0</v>
      </c>
      <c r="I56" s="700">
        <f t="shared" si="7"/>
        <v>0</v>
      </c>
      <c r="J56" s="700">
        <f t="shared" si="7"/>
        <v>0</v>
      </c>
      <c r="K56" s="700">
        <f t="shared" si="7"/>
        <v>120.36863484379448</v>
      </c>
      <c r="L56" s="700">
        <f t="shared" si="7"/>
        <v>0</v>
      </c>
      <c r="M56" s="700">
        <f t="shared" si="7"/>
        <v>0</v>
      </c>
      <c r="N56" s="700">
        <f t="shared" si="7"/>
        <v>0</v>
      </c>
      <c r="O56" s="700">
        <f t="shared" si="7"/>
        <v>0</v>
      </c>
      <c r="P56" s="700">
        <f t="shared" si="7"/>
        <v>0</v>
      </c>
      <c r="Q56" s="701">
        <f t="shared" si="7"/>
        <v>0</v>
      </c>
      <c r="R56" s="702">
        <f ca="1">SUM(R54:R55)</f>
        <v>3461.0804945558871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5920.3480310133355</v>
      </c>
      <c r="D61" s="708">
        <f t="shared" ref="D61:Q61" ca="1" si="8">D46+D52+D56</f>
        <v>0</v>
      </c>
      <c r="E61" s="708">
        <f t="shared" ca="1" si="8"/>
        <v>4464.4874872228675</v>
      </c>
      <c r="F61" s="708">
        <f t="shared" si="8"/>
        <v>458.56429828184633</v>
      </c>
      <c r="G61" s="708">
        <f t="shared" ca="1" si="8"/>
        <v>13026.383028164739</v>
      </c>
      <c r="H61" s="708">
        <f t="shared" si="8"/>
        <v>8329.2940639572189</v>
      </c>
      <c r="I61" s="708">
        <f t="shared" si="8"/>
        <v>1947.6047860764631</v>
      </c>
      <c r="J61" s="708">
        <f t="shared" si="8"/>
        <v>0</v>
      </c>
      <c r="K61" s="708">
        <f t="shared" si="8"/>
        <v>181.85118726638422</v>
      </c>
      <c r="L61" s="708">
        <f t="shared" si="8"/>
        <v>0</v>
      </c>
      <c r="M61" s="708">
        <f t="shared" ca="1" si="8"/>
        <v>0</v>
      </c>
      <c r="N61" s="708">
        <f t="shared" si="8"/>
        <v>0</v>
      </c>
      <c r="O61" s="708">
        <f t="shared" ca="1" si="8"/>
        <v>0</v>
      </c>
      <c r="P61" s="708">
        <f t="shared" si="8"/>
        <v>0</v>
      </c>
      <c r="Q61" s="708">
        <f t="shared" si="8"/>
        <v>0</v>
      </c>
      <c r="R61" s="708">
        <f ca="1">R46+R52+R56</f>
        <v>34328.532881982857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0.14080646516390197</v>
      </c>
      <c r="D63" s="749">
        <f t="shared" ca="1" si="9"/>
        <v>0</v>
      </c>
      <c r="E63" s="984">
        <f t="shared" ca="1" si="9"/>
        <v>0.20199999999999999</v>
      </c>
      <c r="F63" s="749">
        <f t="shared" si="9"/>
        <v>0.22699999999999995</v>
      </c>
      <c r="G63" s="749">
        <f t="shared" ca="1" si="9"/>
        <v>0.26700000000000002</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4704.5905979148556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10552.5</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12414.705882352942</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15257.090597914856</v>
      </c>
      <c r="C78" s="723">
        <f>SUM(C72:C77)</f>
        <v>0</v>
      </c>
      <c r="D78" s="724">
        <f t="shared" ref="D78:H78" si="10">SUM(D76:D77)</f>
        <v>0</v>
      </c>
      <c r="E78" s="724">
        <f t="shared" si="10"/>
        <v>0</v>
      </c>
      <c r="F78" s="724">
        <f t="shared" si="10"/>
        <v>0</v>
      </c>
      <c r="G78" s="724">
        <f t="shared" si="10"/>
        <v>0</v>
      </c>
      <c r="H78" s="724">
        <f t="shared" si="10"/>
        <v>0</v>
      </c>
      <c r="I78" s="724">
        <f>SUM(I76:I77)</f>
        <v>0</v>
      </c>
      <c r="J78" s="724">
        <f>SUM(J76:J77)</f>
        <v>12414.705882352942</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15075</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17735.294117647063</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15075</v>
      </c>
      <c r="C90" s="723">
        <f>SUM(C87:C89)</f>
        <v>0</v>
      </c>
      <c r="D90" s="723">
        <f t="shared" ref="D90:H90" si="12">SUM(D87:D89)</f>
        <v>0</v>
      </c>
      <c r="E90" s="723">
        <f t="shared" si="12"/>
        <v>0</v>
      </c>
      <c r="F90" s="723">
        <f t="shared" si="12"/>
        <v>0</v>
      </c>
      <c r="G90" s="723">
        <f t="shared" si="12"/>
        <v>0</v>
      </c>
      <c r="H90" s="723">
        <f t="shared" si="12"/>
        <v>0</v>
      </c>
      <c r="I90" s="723">
        <f>SUM(I87:I89)</f>
        <v>0</v>
      </c>
      <c r="J90" s="723">
        <f>SUM(J87:J89)</f>
        <v>17735.294117647063</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14562.59843898235</v>
      </c>
      <c r="C4" s="445">
        <f>huishoudens!C8</f>
        <v>0</v>
      </c>
      <c r="D4" s="445">
        <f>huishoudens!D8</f>
        <v>14796.048147100002</v>
      </c>
      <c r="E4" s="445">
        <f>huishoudens!E8</f>
        <v>1423.924778031849</v>
      </c>
      <c r="F4" s="445">
        <f>huishoudens!F8</f>
        <v>36075.871105414939</v>
      </c>
      <c r="G4" s="445">
        <f>huishoudens!G8</f>
        <v>0</v>
      </c>
      <c r="H4" s="445">
        <f>huishoudens!H8</f>
        <v>0</v>
      </c>
      <c r="I4" s="445">
        <f>huishoudens!I8</f>
        <v>0</v>
      </c>
      <c r="J4" s="445">
        <f>huishoudens!J8</f>
        <v>173.59304436389334</v>
      </c>
      <c r="K4" s="445">
        <f>huishoudens!K8</f>
        <v>0</v>
      </c>
      <c r="L4" s="445">
        <f>huishoudens!L8</f>
        <v>0</v>
      </c>
      <c r="M4" s="445">
        <f>huishoudens!M8</f>
        <v>0</v>
      </c>
      <c r="N4" s="445">
        <f>huishoudens!N8</f>
        <v>5601.0952002512095</v>
      </c>
      <c r="O4" s="445">
        <f>huishoudens!O8</f>
        <v>136.01000000000002</v>
      </c>
      <c r="P4" s="446">
        <f>huishoudens!P8</f>
        <v>667.33333333333337</v>
      </c>
      <c r="Q4" s="447">
        <f>SUM(B4:P4)</f>
        <v>73436.474047477561</v>
      </c>
    </row>
    <row r="5" spans="1:17">
      <c r="A5" s="444" t="s">
        <v>155</v>
      </c>
      <c r="B5" s="445">
        <f ca="1">tertiair!B16</f>
        <v>23410.031949999997</v>
      </c>
      <c r="C5" s="445">
        <f ca="1">tertiair!C16</f>
        <v>15075</v>
      </c>
      <c r="D5" s="445">
        <f ca="1">tertiair!D16</f>
        <v>5015.3107730000002</v>
      </c>
      <c r="E5" s="445">
        <f>tertiair!E16</f>
        <v>288.71428517869845</v>
      </c>
      <c r="F5" s="445">
        <f ca="1">tertiair!F16</f>
        <v>2495.9557216155258</v>
      </c>
      <c r="G5" s="445">
        <f>tertiair!G16</f>
        <v>0</v>
      </c>
      <c r="H5" s="445">
        <f>tertiair!H16</f>
        <v>0</v>
      </c>
      <c r="I5" s="445">
        <f>tertiair!I16</f>
        <v>0</v>
      </c>
      <c r="J5" s="445">
        <f>tertiair!J16</f>
        <v>4.9975183764747466E-2</v>
      </c>
      <c r="K5" s="445">
        <f>tertiair!K16</f>
        <v>0</v>
      </c>
      <c r="L5" s="445">
        <f ca="1">tertiair!L16</f>
        <v>0</v>
      </c>
      <c r="M5" s="445">
        <f>tertiair!M16</f>
        <v>0</v>
      </c>
      <c r="N5" s="445">
        <f ca="1">tertiair!N16</f>
        <v>0</v>
      </c>
      <c r="O5" s="445">
        <f>tertiair!O16</f>
        <v>0</v>
      </c>
      <c r="P5" s="446">
        <f>tertiair!P16</f>
        <v>19.066666666666666</v>
      </c>
      <c r="Q5" s="444">
        <f t="shared" ref="Q5:Q14" ca="1" si="0">SUM(B5:P5)</f>
        <v>46304.129371644645</v>
      </c>
    </row>
    <row r="6" spans="1:17">
      <c r="A6" s="444" t="s">
        <v>193</v>
      </c>
      <c r="B6" s="445">
        <f>'openbare verlichting'!B8</f>
        <v>574.27200000000005</v>
      </c>
      <c r="C6" s="445"/>
      <c r="D6" s="445"/>
      <c r="E6" s="445"/>
      <c r="F6" s="445"/>
      <c r="G6" s="445"/>
      <c r="H6" s="445"/>
      <c r="I6" s="445"/>
      <c r="J6" s="445"/>
      <c r="K6" s="445"/>
      <c r="L6" s="445"/>
      <c r="M6" s="445"/>
      <c r="N6" s="445"/>
      <c r="O6" s="445"/>
      <c r="P6" s="446"/>
      <c r="Q6" s="444">
        <f t="shared" si="0"/>
        <v>574.27200000000005</v>
      </c>
    </row>
    <row r="7" spans="1:17">
      <c r="A7" s="444" t="s">
        <v>111</v>
      </c>
      <c r="B7" s="445">
        <f>landbouw!B8</f>
        <v>2346.962</v>
      </c>
      <c r="C7" s="445">
        <f>landbouw!C8</f>
        <v>0</v>
      </c>
      <c r="D7" s="445">
        <f>landbouw!D8</f>
        <v>302.77073200000001</v>
      </c>
      <c r="E7" s="445">
        <f>landbouw!E8</f>
        <v>68.984381629341172</v>
      </c>
      <c r="F7" s="445">
        <f>landbouw!F8</f>
        <v>9777.3168688301739</v>
      </c>
      <c r="G7" s="445">
        <f>landbouw!G8</f>
        <v>0</v>
      </c>
      <c r="H7" s="445">
        <f>landbouw!H8</f>
        <v>0</v>
      </c>
      <c r="I7" s="445">
        <f>landbouw!I8</f>
        <v>0</v>
      </c>
      <c r="J7" s="445">
        <f>landbouw!J8</f>
        <v>340.02439221410873</v>
      </c>
      <c r="K7" s="445">
        <f>landbouw!K8</f>
        <v>0</v>
      </c>
      <c r="L7" s="445">
        <f>landbouw!L8</f>
        <v>0</v>
      </c>
      <c r="M7" s="445">
        <f>landbouw!M8</f>
        <v>0</v>
      </c>
      <c r="N7" s="445">
        <f>landbouw!N8</f>
        <v>0</v>
      </c>
      <c r="O7" s="445">
        <f>landbouw!O8</f>
        <v>0</v>
      </c>
      <c r="P7" s="446">
        <f>landbouw!P8</f>
        <v>0</v>
      </c>
      <c r="Q7" s="444">
        <f t="shared" si="0"/>
        <v>12836.058374673623</v>
      </c>
    </row>
    <row r="8" spans="1:17">
      <c r="A8" s="444" t="s">
        <v>627</v>
      </c>
      <c r="B8" s="445">
        <f>industrie!B18</f>
        <v>768.91430000000003</v>
      </c>
      <c r="C8" s="445">
        <f>industrie!C18</f>
        <v>0</v>
      </c>
      <c r="D8" s="445">
        <f>industrie!D18</f>
        <v>581.87695280000003</v>
      </c>
      <c r="E8" s="445">
        <f>industrie!E18</f>
        <v>154.5542406488216</v>
      </c>
      <c r="F8" s="445">
        <f>industrie!F18</f>
        <v>438.80772048669587</v>
      </c>
      <c r="G8" s="445">
        <f>industrie!G18</f>
        <v>0</v>
      </c>
      <c r="H8" s="445">
        <f>industrie!H18</f>
        <v>0</v>
      </c>
      <c r="I8" s="445">
        <f>industrie!I18</f>
        <v>0</v>
      </c>
      <c r="J8" s="445">
        <f>industrie!J18</f>
        <v>3.6507069827068098E-2</v>
      </c>
      <c r="K8" s="445">
        <f>industrie!K18</f>
        <v>0</v>
      </c>
      <c r="L8" s="445">
        <f>industrie!L18</f>
        <v>0</v>
      </c>
      <c r="M8" s="445">
        <f>industrie!M18</f>
        <v>0</v>
      </c>
      <c r="N8" s="445">
        <f>industrie!N18</f>
        <v>61.798501747901817</v>
      </c>
      <c r="O8" s="445">
        <f>industrie!O18</f>
        <v>0</v>
      </c>
      <c r="P8" s="446">
        <f>industrie!P18</f>
        <v>0</v>
      </c>
      <c r="Q8" s="444">
        <f t="shared" si="0"/>
        <v>2005.9882227532466</v>
      </c>
    </row>
    <row r="9" spans="1:17" s="450" customFormat="1">
      <c r="A9" s="448" t="s">
        <v>553</v>
      </c>
      <c r="B9" s="449">
        <f>transport!B14</f>
        <v>25.11546336170618</v>
      </c>
      <c r="C9" s="449">
        <f>transport!C14</f>
        <v>0</v>
      </c>
      <c r="D9" s="449">
        <f>transport!D14</f>
        <v>49.081399173598932</v>
      </c>
      <c r="E9" s="449">
        <f>transport!E14</f>
        <v>83.929355400480929</v>
      </c>
      <c r="F9" s="449">
        <f>transport!F14</f>
        <v>0</v>
      </c>
      <c r="G9" s="449">
        <f>transport!G14</f>
        <v>30181.087807595362</v>
      </c>
      <c r="H9" s="449">
        <f>transport!H14</f>
        <v>7821.7059681785668</v>
      </c>
      <c r="I9" s="449">
        <f>transport!I14</f>
        <v>0</v>
      </c>
      <c r="J9" s="449">
        <f>transport!J14</f>
        <v>0</v>
      </c>
      <c r="K9" s="449">
        <f>transport!K14</f>
        <v>0</v>
      </c>
      <c r="L9" s="449">
        <f>transport!L14</f>
        <v>0</v>
      </c>
      <c r="M9" s="449">
        <f>transport!M14</f>
        <v>1993.618970681169</v>
      </c>
      <c r="N9" s="449">
        <f>transport!N14</f>
        <v>0</v>
      </c>
      <c r="O9" s="449">
        <f>transport!O14</f>
        <v>0</v>
      </c>
      <c r="P9" s="449">
        <f>transport!P14</f>
        <v>0</v>
      </c>
      <c r="Q9" s="448">
        <f>SUM(B9:P9)</f>
        <v>40154.538964390886</v>
      </c>
    </row>
    <row r="10" spans="1:17">
      <c r="A10" s="444" t="s">
        <v>543</v>
      </c>
      <c r="B10" s="445">
        <f>transport!B54</f>
        <v>10.802313278204377</v>
      </c>
      <c r="C10" s="445">
        <f>transport!C54</f>
        <v>0</v>
      </c>
      <c r="D10" s="445">
        <f>transport!D54</f>
        <v>0</v>
      </c>
      <c r="E10" s="445">
        <f>transport!E54</f>
        <v>0</v>
      </c>
      <c r="F10" s="445">
        <f>transport!F54</f>
        <v>0</v>
      </c>
      <c r="G10" s="445">
        <f>transport!G54</f>
        <v>1014.7701098474053</v>
      </c>
      <c r="H10" s="445">
        <f>transport!H54</f>
        <v>0</v>
      </c>
      <c r="I10" s="445">
        <f>transport!I54</f>
        <v>0</v>
      </c>
      <c r="J10" s="445">
        <f>transport!J54</f>
        <v>0</v>
      </c>
      <c r="K10" s="445">
        <f>transport!K54</f>
        <v>0</v>
      </c>
      <c r="L10" s="445">
        <f>transport!L54</f>
        <v>0</v>
      </c>
      <c r="M10" s="445">
        <f>transport!M54</f>
        <v>58.437563762594571</v>
      </c>
      <c r="N10" s="445">
        <f>transport!N54</f>
        <v>0</v>
      </c>
      <c r="O10" s="445">
        <f>transport!O54</f>
        <v>0</v>
      </c>
      <c r="P10" s="446">
        <f>transport!P54</f>
        <v>0</v>
      </c>
      <c r="Q10" s="444">
        <f t="shared" si="0"/>
        <v>1084.0099868882044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347.29924999999997</v>
      </c>
      <c r="C14" s="452"/>
      <c r="D14" s="452">
        <f>'SEAP template'!E25</f>
        <v>1356.3352</v>
      </c>
      <c r="E14" s="452"/>
      <c r="F14" s="452"/>
      <c r="G14" s="452"/>
      <c r="H14" s="452"/>
      <c r="I14" s="452"/>
      <c r="J14" s="452"/>
      <c r="K14" s="452"/>
      <c r="L14" s="452"/>
      <c r="M14" s="452"/>
      <c r="N14" s="452"/>
      <c r="O14" s="452"/>
      <c r="P14" s="453"/>
      <c r="Q14" s="444">
        <f t="shared" si="0"/>
        <v>1703.63445</v>
      </c>
    </row>
    <row r="15" spans="1:17" s="454" customFormat="1">
      <c r="A15" s="999" t="s">
        <v>547</v>
      </c>
      <c r="B15" s="947">
        <f ca="1">SUM(B4:B14)</f>
        <v>42045.995715622244</v>
      </c>
      <c r="C15" s="947">
        <f t="shared" ref="C15:Q15" ca="1" si="1">SUM(C4:C14)</f>
        <v>15075</v>
      </c>
      <c r="D15" s="947">
        <f t="shared" ca="1" si="1"/>
        <v>22101.423204073606</v>
      </c>
      <c r="E15" s="947">
        <f t="shared" si="1"/>
        <v>2020.1070408891912</v>
      </c>
      <c r="F15" s="947">
        <f t="shared" ca="1" si="1"/>
        <v>48787.951416347329</v>
      </c>
      <c r="G15" s="947">
        <f t="shared" si="1"/>
        <v>31195.857917442769</v>
      </c>
      <c r="H15" s="947">
        <f t="shared" si="1"/>
        <v>7821.7059681785668</v>
      </c>
      <c r="I15" s="947">
        <f t="shared" si="1"/>
        <v>0</v>
      </c>
      <c r="J15" s="947">
        <f t="shared" si="1"/>
        <v>513.70391883159391</v>
      </c>
      <c r="K15" s="947">
        <f t="shared" si="1"/>
        <v>0</v>
      </c>
      <c r="L15" s="947">
        <f t="shared" ca="1" si="1"/>
        <v>0</v>
      </c>
      <c r="M15" s="947">
        <f t="shared" si="1"/>
        <v>2052.0565344437637</v>
      </c>
      <c r="N15" s="947">
        <f t="shared" ca="1" si="1"/>
        <v>5662.8937019991117</v>
      </c>
      <c r="O15" s="947">
        <f t="shared" si="1"/>
        <v>136.01000000000002</v>
      </c>
      <c r="P15" s="947">
        <f t="shared" si="1"/>
        <v>686.40000000000009</v>
      </c>
      <c r="Q15" s="947">
        <f t="shared" ca="1" si="1"/>
        <v>178099.10541782819</v>
      </c>
    </row>
    <row r="17" spans="1:17">
      <c r="A17" s="455" t="s">
        <v>548</v>
      </c>
      <c r="B17" s="754">
        <f ca="1">huishoudens!B10</f>
        <v>0.14080646516390194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2050.508009794461</v>
      </c>
      <c r="C22" s="445">
        <f t="shared" ref="C22:C32" ca="1" si="3">C4*$C$17</f>
        <v>0</v>
      </c>
      <c r="D22" s="445">
        <f t="shared" ref="D22:D32" si="4">D4*$D$17</f>
        <v>2988.8017257142005</v>
      </c>
      <c r="E22" s="445">
        <f t="shared" ref="E22:E32" si="5">E4*$E$17</f>
        <v>323.23092461322972</v>
      </c>
      <c r="F22" s="445">
        <f t="shared" ref="F22:F32" si="6">F4*$F$17</f>
        <v>9632.2575851457896</v>
      </c>
      <c r="G22" s="445">
        <f t="shared" ref="G22:G32" si="7">G4*$G$17</f>
        <v>0</v>
      </c>
      <c r="H22" s="445">
        <f t="shared" ref="H22:H32" si="8">H4*$H$17</f>
        <v>0</v>
      </c>
      <c r="I22" s="445">
        <f t="shared" ref="I22:I32" si="9">I4*$I$17</f>
        <v>0</v>
      </c>
      <c r="J22" s="445">
        <f t="shared" ref="J22:J32" si="10">J4*$J$17</f>
        <v>61.451937704818242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15056.250182972499</v>
      </c>
    </row>
    <row r="23" spans="1:17">
      <c r="A23" s="444" t="s">
        <v>155</v>
      </c>
      <c r="B23" s="445">
        <f t="shared" ca="1" si="2"/>
        <v>3296.2838482535058</v>
      </c>
      <c r="C23" s="445">
        <f t="shared" ca="1" si="3"/>
        <v>0</v>
      </c>
      <c r="D23" s="445">
        <f t="shared" ca="1" si="4"/>
        <v>1013.0927761460001</v>
      </c>
      <c r="E23" s="445">
        <f t="shared" si="5"/>
        <v>65.538142735564549</v>
      </c>
      <c r="F23" s="445">
        <f t="shared" ca="1" si="6"/>
        <v>666.42017767134541</v>
      </c>
      <c r="G23" s="445">
        <f t="shared" si="7"/>
        <v>0</v>
      </c>
      <c r="H23" s="445">
        <f t="shared" si="8"/>
        <v>0</v>
      </c>
      <c r="I23" s="445">
        <f t="shared" si="9"/>
        <v>0</v>
      </c>
      <c r="J23" s="445">
        <f t="shared" si="10"/>
        <v>1.7691215052720602E-2</v>
      </c>
      <c r="K23" s="445">
        <f t="shared" si="11"/>
        <v>0</v>
      </c>
      <c r="L23" s="445">
        <f t="shared" ca="1" si="12"/>
        <v>0</v>
      </c>
      <c r="M23" s="445">
        <f t="shared" si="13"/>
        <v>0</v>
      </c>
      <c r="N23" s="445">
        <f t="shared" ca="1" si="14"/>
        <v>0</v>
      </c>
      <c r="O23" s="445">
        <f t="shared" si="15"/>
        <v>0</v>
      </c>
      <c r="P23" s="446">
        <f t="shared" si="16"/>
        <v>0</v>
      </c>
      <c r="Q23" s="444">
        <f t="shared" ref="Q23:Q32" ca="1" si="17">SUM(B23:P23)</f>
        <v>5041.3526360214682</v>
      </c>
    </row>
    <row r="24" spans="1:17">
      <c r="A24" s="444" t="s">
        <v>193</v>
      </c>
      <c r="B24" s="445">
        <f t="shared" ca="1" si="2"/>
        <v>80.861210362604297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80.861210362604297</v>
      </c>
    </row>
    <row r="25" spans="1:17">
      <c r="A25" s="444" t="s">
        <v>111</v>
      </c>
      <c r="B25" s="445">
        <f t="shared" ca="1" si="2"/>
        <v>330.46742309400162</v>
      </c>
      <c r="C25" s="445">
        <f t="shared" ca="1" si="3"/>
        <v>0</v>
      </c>
      <c r="D25" s="445">
        <f t="shared" si="4"/>
        <v>61.159687864000006</v>
      </c>
      <c r="E25" s="445">
        <f t="shared" si="5"/>
        <v>15.659454629860447</v>
      </c>
      <c r="F25" s="445">
        <f t="shared" si="6"/>
        <v>2610.5436039776564</v>
      </c>
      <c r="G25" s="445">
        <f t="shared" si="7"/>
        <v>0</v>
      </c>
      <c r="H25" s="445">
        <f t="shared" si="8"/>
        <v>0</v>
      </c>
      <c r="I25" s="445">
        <f t="shared" si="9"/>
        <v>0</v>
      </c>
      <c r="J25" s="445">
        <f t="shared" si="10"/>
        <v>120.36863484379448</v>
      </c>
      <c r="K25" s="445">
        <f t="shared" si="11"/>
        <v>0</v>
      </c>
      <c r="L25" s="445">
        <f t="shared" si="12"/>
        <v>0</v>
      </c>
      <c r="M25" s="445">
        <f t="shared" si="13"/>
        <v>0</v>
      </c>
      <c r="N25" s="445">
        <f t="shared" si="14"/>
        <v>0</v>
      </c>
      <c r="O25" s="445">
        <f t="shared" si="15"/>
        <v>0</v>
      </c>
      <c r="P25" s="446">
        <f t="shared" si="16"/>
        <v>0</v>
      </c>
      <c r="Q25" s="444">
        <f t="shared" ca="1" si="17"/>
        <v>3138.1988044093127</v>
      </c>
    </row>
    <row r="26" spans="1:17">
      <c r="A26" s="444" t="s">
        <v>627</v>
      </c>
      <c r="B26" s="445">
        <f t="shared" ca="1" si="2"/>
        <v>108.26810459697604</v>
      </c>
      <c r="C26" s="445">
        <f t="shared" ca="1" si="3"/>
        <v>0</v>
      </c>
      <c r="D26" s="445">
        <f t="shared" si="4"/>
        <v>117.53914446560002</v>
      </c>
      <c r="E26" s="445">
        <f t="shared" si="5"/>
        <v>35.083812627282505</v>
      </c>
      <c r="F26" s="445">
        <f t="shared" si="6"/>
        <v>117.16166136994781</v>
      </c>
      <c r="G26" s="445">
        <f t="shared" si="7"/>
        <v>0</v>
      </c>
      <c r="H26" s="445">
        <f t="shared" si="8"/>
        <v>0</v>
      </c>
      <c r="I26" s="445">
        <f t="shared" si="9"/>
        <v>0</v>
      </c>
      <c r="J26" s="445">
        <f t="shared" si="10"/>
        <v>1.2923502718782107E-2</v>
      </c>
      <c r="K26" s="445">
        <f t="shared" si="11"/>
        <v>0</v>
      </c>
      <c r="L26" s="445">
        <f t="shared" si="12"/>
        <v>0</v>
      </c>
      <c r="M26" s="445">
        <f t="shared" si="13"/>
        <v>0</v>
      </c>
      <c r="N26" s="445">
        <f t="shared" si="14"/>
        <v>0</v>
      </c>
      <c r="O26" s="445">
        <f t="shared" si="15"/>
        <v>0</v>
      </c>
      <c r="P26" s="446">
        <f t="shared" si="16"/>
        <v>0</v>
      </c>
      <c r="Q26" s="444">
        <f t="shared" ca="1" si="17"/>
        <v>378.06564656252516</v>
      </c>
    </row>
    <row r="27" spans="1:17" s="450" customFormat="1">
      <c r="A27" s="448" t="s">
        <v>553</v>
      </c>
      <c r="B27" s="748">
        <f t="shared" ca="1" si="2"/>
        <v>3.5364196169153366</v>
      </c>
      <c r="C27" s="449">
        <f t="shared" ca="1" si="3"/>
        <v>0</v>
      </c>
      <c r="D27" s="449">
        <f t="shared" si="4"/>
        <v>9.9144426330669848</v>
      </c>
      <c r="E27" s="449">
        <f t="shared" si="5"/>
        <v>19.051963675909171</v>
      </c>
      <c r="F27" s="449">
        <f t="shared" si="6"/>
        <v>0</v>
      </c>
      <c r="G27" s="449">
        <f t="shared" si="7"/>
        <v>8058.3504446279621</v>
      </c>
      <c r="H27" s="449">
        <f t="shared" si="8"/>
        <v>1947.6047860764631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10038.458056630318</v>
      </c>
    </row>
    <row r="28" spans="1:17">
      <c r="A28" s="444" t="s">
        <v>543</v>
      </c>
      <c r="B28" s="445">
        <f t="shared" ca="1" si="2"/>
        <v>1.5210355482970399</v>
      </c>
      <c r="C28" s="445">
        <f t="shared" ca="1" si="3"/>
        <v>0</v>
      </c>
      <c r="D28" s="445">
        <f t="shared" si="4"/>
        <v>0</v>
      </c>
      <c r="E28" s="445">
        <f t="shared" si="5"/>
        <v>0</v>
      </c>
      <c r="F28" s="445">
        <f t="shared" si="6"/>
        <v>0</v>
      </c>
      <c r="G28" s="445">
        <f t="shared" si="7"/>
        <v>270.94361932925722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272.46465487755427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48.90197974657427</v>
      </c>
      <c r="C32" s="445">
        <f t="shared" ca="1" si="3"/>
        <v>0</v>
      </c>
      <c r="D32" s="445">
        <f t="shared" si="4"/>
        <v>273.97971039999999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322.88169014657427</v>
      </c>
    </row>
    <row r="33" spans="1:17" s="454" customFormat="1">
      <c r="A33" s="999" t="s">
        <v>547</v>
      </c>
      <c r="B33" s="947">
        <f ca="1">SUM(B22:B32)</f>
        <v>5920.3480310133364</v>
      </c>
      <c r="C33" s="947">
        <f t="shared" ref="C33:Q33" ca="1" si="18">SUM(C22:C32)</f>
        <v>0</v>
      </c>
      <c r="D33" s="947">
        <f t="shared" ca="1" si="18"/>
        <v>4464.4874872228675</v>
      </c>
      <c r="E33" s="947">
        <f t="shared" si="18"/>
        <v>458.56429828184633</v>
      </c>
      <c r="F33" s="947">
        <f t="shared" ca="1" si="18"/>
        <v>13026.383028164739</v>
      </c>
      <c r="G33" s="947">
        <f t="shared" si="18"/>
        <v>8329.2940639572189</v>
      </c>
      <c r="H33" s="947">
        <f t="shared" si="18"/>
        <v>1947.6047860764631</v>
      </c>
      <c r="I33" s="947">
        <f t="shared" si="18"/>
        <v>0</v>
      </c>
      <c r="J33" s="947">
        <f t="shared" si="18"/>
        <v>181.85118726638424</v>
      </c>
      <c r="K33" s="947">
        <f t="shared" si="18"/>
        <v>0</v>
      </c>
      <c r="L33" s="947">
        <f t="shared" ca="1" si="18"/>
        <v>0</v>
      </c>
      <c r="M33" s="947">
        <f t="shared" si="18"/>
        <v>0</v>
      </c>
      <c r="N33" s="947">
        <f t="shared" ca="1" si="18"/>
        <v>0</v>
      </c>
      <c r="O33" s="947">
        <f t="shared" si="18"/>
        <v>0</v>
      </c>
      <c r="P33" s="947">
        <f t="shared" si="18"/>
        <v>0</v>
      </c>
      <c r="Q33" s="947">
        <f t="shared" ca="1" si="18"/>
        <v>34328.532881982857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4704.5905979148556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10552.5</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12414.705882352942</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15257.090597914856</v>
      </c>
      <c r="C10" s="1020">
        <f>SUM(C4:C9)</f>
        <v>0</v>
      </c>
      <c r="D10" s="1020">
        <f t="shared" ref="D10:H10" si="0">SUM(D8:D9)</f>
        <v>0</v>
      </c>
      <c r="E10" s="1020">
        <f t="shared" si="0"/>
        <v>0</v>
      </c>
      <c r="F10" s="1020">
        <f t="shared" si="0"/>
        <v>0</v>
      </c>
      <c r="G10" s="1020">
        <f t="shared" si="0"/>
        <v>0</v>
      </c>
      <c r="H10" s="1020">
        <f t="shared" si="0"/>
        <v>0</v>
      </c>
      <c r="I10" s="1020">
        <f>SUM(I8:I9)</f>
        <v>0</v>
      </c>
      <c r="J10" s="1020">
        <f>SUM(J8:J9)</f>
        <v>12414.705882352942</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0.14080646516390194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15075</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17735.294117647063</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15075</v>
      </c>
      <c r="C20" s="1020">
        <f>SUM(C17:C19)</f>
        <v>0</v>
      </c>
      <c r="D20" s="1020">
        <f t="shared" ref="D20:H20" si="2">SUM(D17:D19)</f>
        <v>0</v>
      </c>
      <c r="E20" s="1020">
        <f t="shared" si="2"/>
        <v>0</v>
      </c>
      <c r="F20" s="1020">
        <f t="shared" si="2"/>
        <v>0</v>
      </c>
      <c r="G20" s="1020">
        <f t="shared" si="2"/>
        <v>0</v>
      </c>
      <c r="H20" s="1020">
        <f t="shared" si="2"/>
        <v>0</v>
      </c>
      <c r="I20" s="1020">
        <f>SUM(I17:I19)</f>
        <v>0</v>
      </c>
      <c r="J20" s="1020">
        <f>SUM(J17:J19)</f>
        <v>17735.294117647063</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0.14080646516390194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0.14080646516390194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0.14080646516390194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3471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3010.52</v>
      </c>
      <c r="C14" s="324"/>
      <c r="D14" s="324"/>
      <c r="E14" s="324"/>
      <c r="F14" s="324"/>
    </row>
    <row r="15" spans="1:6">
      <c r="A15" s="1291" t="s">
        <v>183</v>
      </c>
      <c r="B15" s="1292">
        <v>1808</v>
      </c>
      <c r="C15" s="324"/>
      <c r="D15" s="324"/>
      <c r="E15" s="324"/>
      <c r="F15" s="324"/>
    </row>
    <row r="16" spans="1:6">
      <c r="A16" s="1291" t="s">
        <v>6</v>
      </c>
      <c r="B16" s="1292">
        <v>129</v>
      </c>
      <c r="C16" s="324"/>
      <c r="D16" s="324"/>
      <c r="E16" s="324"/>
      <c r="F16" s="324"/>
    </row>
    <row r="17" spans="1:6">
      <c r="A17" s="1291" t="s">
        <v>7</v>
      </c>
      <c r="B17" s="1292">
        <v>393</v>
      </c>
      <c r="C17" s="324"/>
      <c r="D17" s="324"/>
      <c r="E17" s="324"/>
      <c r="F17" s="324"/>
    </row>
    <row r="18" spans="1:6">
      <c r="A18" s="1291" t="s">
        <v>8</v>
      </c>
      <c r="B18" s="1292">
        <v>311</v>
      </c>
      <c r="C18" s="324"/>
      <c r="D18" s="324"/>
      <c r="E18" s="324"/>
      <c r="F18" s="324"/>
    </row>
    <row r="19" spans="1:6">
      <c r="A19" s="1291" t="s">
        <v>9</v>
      </c>
      <c r="B19" s="1292">
        <v>167</v>
      </c>
      <c r="C19" s="324"/>
      <c r="D19" s="324"/>
      <c r="E19" s="324"/>
      <c r="F19" s="324"/>
    </row>
    <row r="20" spans="1:6">
      <c r="A20" s="1291" t="s">
        <v>10</v>
      </c>
      <c r="B20" s="1292">
        <v>298</v>
      </c>
      <c r="C20" s="324"/>
      <c r="D20" s="324"/>
      <c r="E20" s="324"/>
      <c r="F20" s="324"/>
    </row>
    <row r="21" spans="1:6">
      <c r="A21" s="1291" t="s">
        <v>11</v>
      </c>
      <c r="B21" s="1292">
        <v>3717</v>
      </c>
      <c r="C21" s="324"/>
      <c r="D21" s="324"/>
      <c r="E21" s="324"/>
      <c r="F21" s="324"/>
    </row>
    <row r="22" spans="1:6">
      <c r="A22" s="1291" t="s">
        <v>12</v>
      </c>
      <c r="B22" s="1292">
        <v>5863</v>
      </c>
      <c r="C22" s="324"/>
      <c r="D22" s="324"/>
      <c r="E22" s="324"/>
      <c r="F22" s="324"/>
    </row>
    <row r="23" spans="1:6">
      <c r="A23" s="1291" t="s">
        <v>13</v>
      </c>
      <c r="B23" s="1292">
        <v>31</v>
      </c>
      <c r="C23" s="324"/>
      <c r="D23" s="324"/>
      <c r="E23" s="324"/>
      <c r="F23" s="324"/>
    </row>
    <row r="24" spans="1:6">
      <c r="A24" s="1291" t="s">
        <v>14</v>
      </c>
      <c r="B24" s="1292">
        <v>0</v>
      </c>
      <c r="C24" s="324"/>
      <c r="D24" s="324"/>
      <c r="E24" s="324"/>
      <c r="F24" s="324"/>
    </row>
    <row r="25" spans="1:6">
      <c r="A25" s="1291" t="s">
        <v>15</v>
      </c>
      <c r="B25" s="1292">
        <v>506</v>
      </c>
      <c r="C25" s="324"/>
      <c r="D25" s="324"/>
      <c r="E25" s="324"/>
      <c r="F25" s="324"/>
    </row>
    <row r="26" spans="1:6">
      <c r="A26" s="1291" t="s">
        <v>16</v>
      </c>
      <c r="B26" s="1292">
        <v>167</v>
      </c>
      <c r="C26" s="324"/>
      <c r="D26" s="324"/>
      <c r="E26" s="324"/>
      <c r="F26" s="324"/>
    </row>
    <row r="27" spans="1:6">
      <c r="A27" s="1291" t="s">
        <v>17</v>
      </c>
      <c r="B27" s="1292">
        <v>3</v>
      </c>
      <c r="C27" s="324"/>
      <c r="D27" s="324"/>
      <c r="E27" s="324"/>
      <c r="F27" s="324"/>
    </row>
    <row r="28" spans="1:6" s="43" customFormat="1">
      <c r="A28" s="1293" t="s">
        <v>18</v>
      </c>
      <c r="B28" s="1294">
        <v>86141</v>
      </c>
      <c r="C28" s="330"/>
      <c r="D28" s="330"/>
      <c r="E28" s="330"/>
      <c r="F28" s="330"/>
    </row>
    <row r="29" spans="1:6">
      <c r="A29" s="1293" t="s">
        <v>722</v>
      </c>
      <c r="B29" s="1294">
        <v>292</v>
      </c>
      <c r="C29" s="330"/>
      <c r="D29" s="330"/>
      <c r="E29" s="330"/>
      <c r="F29" s="330"/>
    </row>
    <row r="30" spans="1:6">
      <c r="A30" s="1286" t="s">
        <v>723</v>
      </c>
      <c r="B30" s="1295">
        <v>36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8</v>
      </c>
      <c r="F36" s="1292">
        <v>104229</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1040</v>
      </c>
      <c r="D39" s="1292">
        <v>16403601.050000001</v>
      </c>
      <c r="E39" s="1292">
        <v>3348</v>
      </c>
      <c r="F39" s="1292">
        <v>11935579.699999999</v>
      </c>
    </row>
    <row r="40" spans="1:6">
      <c r="A40" s="1291" t="s">
        <v>29</v>
      </c>
      <c r="B40" s="1291" t="s">
        <v>28</v>
      </c>
      <c r="C40" s="1292">
        <v>0</v>
      </c>
      <c r="D40" s="1292">
        <v>0</v>
      </c>
      <c r="E40" s="1292">
        <v>0</v>
      </c>
      <c r="F40" s="1292">
        <v>0</v>
      </c>
    </row>
    <row r="41" spans="1:6">
      <c r="A41" s="1291" t="s">
        <v>31</v>
      </c>
      <c r="B41" s="1291" t="s">
        <v>32</v>
      </c>
      <c r="C41" s="1292">
        <v>25</v>
      </c>
      <c r="D41" s="1292">
        <v>558419.4</v>
      </c>
      <c r="E41" s="1292">
        <v>68</v>
      </c>
      <c r="F41" s="1292">
        <v>523753.3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64303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39773</v>
      </c>
      <c r="E47" s="1292">
        <v>4</v>
      </c>
      <c r="F47" s="1292">
        <v>21517</v>
      </c>
    </row>
    <row r="48" spans="1:6">
      <c r="A48" s="1291" t="s">
        <v>31</v>
      </c>
      <c r="B48" s="1291" t="s">
        <v>28</v>
      </c>
      <c r="C48" s="1292">
        <v>2</v>
      </c>
      <c r="D48" s="1292">
        <v>46904</v>
      </c>
      <c r="E48" s="1292">
        <v>2</v>
      </c>
      <c r="F48" s="1292">
        <v>9268</v>
      </c>
    </row>
    <row r="49" spans="1:6">
      <c r="A49" s="1291" t="s">
        <v>31</v>
      </c>
      <c r="B49" s="1291" t="s">
        <v>39</v>
      </c>
      <c r="C49" s="1292">
        <v>0</v>
      </c>
      <c r="D49" s="1292">
        <v>0</v>
      </c>
      <c r="E49" s="1292">
        <v>0</v>
      </c>
      <c r="F49" s="1292">
        <v>0</v>
      </c>
    </row>
    <row r="50" spans="1:6">
      <c r="A50" s="1291" t="s">
        <v>31</v>
      </c>
      <c r="B50" s="1291" t="s">
        <v>40</v>
      </c>
      <c r="C50" s="1292">
        <v>0</v>
      </c>
      <c r="D50" s="1292">
        <v>0</v>
      </c>
      <c r="E50" s="1292">
        <v>5</v>
      </c>
      <c r="F50" s="1292">
        <v>150073</v>
      </c>
    </row>
    <row r="51" spans="1:6">
      <c r="A51" s="1291" t="s">
        <v>41</v>
      </c>
      <c r="B51" s="1291" t="s">
        <v>42</v>
      </c>
      <c r="C51" s="1292">
        <v>12</v>
      </c>
      <c r="D51" s="1292">
        <v>335666</v>
      </c>
      <c r="E51" s="1292">
        <v>89</v>
      </c>
      <c r="F51" s="1292">
        <v>2346962</v>
      </c>
    </row>
    <row r="52" spans="1:6">
      <c r="A52" s="1291" t="s">
        <v>41</v>
      </c>
      <c r="B52" s="1291" t="s">
        <v>28</v>
      </c>
      <c r="C52" s="1292">
        <v>0</v>
      </c>
      <c r="D52" s="1292">
        <v>0</v>
      </c>
      <c r="E52" s="1292">
        <v>0</v>
      </c>
      <c r="F52" s="1292">
        <v>0</v>
      </c>
    </row>
    <row r="53" spans="1:6">
      <c r="A53" s="1291" t="s">
        <v>43</v>
      </c>
      <c r="B53" s="1291" t="s">
        <v>44</v>
      </c>
      <c r="C53" s="1292">
        <v>25</v>
      </c>
      <c r="D53" s="1292">
        <v>1356335.2</v>
      </c>
      <c r="E53" s="1292">
        <v>80</v>
      </c>
      <c r="F53" s="1292">
        <v>347299.25</v>
      </c>
    </row>
    <row r="54" spans="1:6">
      <c r="A54" s="1291" t="s">
        <v>45</v>
      </c>
      <c r="B54" s="1291" t="s">
        <v>46</v>
      </c>
      <c r="C54" s="1292">
        <v>0</v>
      </c>
      <c r="D54" s="1292">
        <v>0</v>
      </c>
      <c r="E54" s="1292">
        <v>1</v>
      </c>
      <c r="F54" s="1292">
        <v>574272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v>
      </c>
      <c r="D57" s="1292">
        <v>134468</v>
      </c>
      <c r="E57" s="1292">
        <v>67</v>
      </c>
      <c r="F57" s="1292">
        <v>2301340</v>
      </c>
    </row>
    <row r="58" spans="1:6">
      <c r="A58" s="1291" t="s">
        <v>48</v>
      </c>
      <c r="B58" s="1291" t="s">
        <v>50</v>
      </c>
      <c r="C58" s="1292">
        <v>9</v>
      </c>
      <c r="D58" s="1292">
        <v>1075294.6000000001</v>
      </c>
      <c r="E58" s="1292">
        <v>16</v>
      </c>
      <c r="F58" s="1292">
        <v>521393.8</v>
      </c>
    </row>
    <row r="59" spans="1:6">
      <c r="A59" s="1291" t="s">
        <v>48</v>
      </c>
      <c r="B59" s="1291" t="s">
        <v>51</v>
      </c>
      <c r="C59" s="1292">
        <v>31</v>
      </c>
      <c r="D59" s="1292">
        <v>930821</v>
      </c>
      <c r="E59" s="1292">
        <v>110</v>
      </c>
      <c r="F59" s="1292">
        <v>7478742.7999999998</v>
      </c>
    </row>
    <row r="60" spans="1:6">
      <c r="A60" s="1291" t="s">
        <v>48</v>
      </c>
      <c r="B60" s="1291" t="s">
        <v>52</v>
      </c>
      <c r="C60" s="1292">
        <v>21</v>
      </c>
      <c r="D60" s="1292">
        <v>710247</v>
      </c>
      <c r="E60" s="1292">
        <v>33</v>
      </c>
      <c r="F60" s="1292">
        <v>686885</v>
      </c>
    </row>
    <row r="61" spans="1:6">
      <c r="A61" s="1291" t="s">
        <v>48</v>
      </c>
      <c r="B61" s="1291" t="s">
        <v>53</v>
      </c>
      <c r="C61" s="1292">
        <v>57</v>
      </c>
      <c r="D61" s="1292">
        <v>1925078.9</v>
      </c>
      <c r="E61" s="1292">
        <v>110</v>
      </c>
      <c r="F61" s="1292">
        <v>1546799.35</v>
      </c>
    </row>
    <row r="62" spans="1:6">
      <c r="A62" s="1291" t="s">
        <v>48</v>
      </c>
      <c r="B62" s="1291" t="s">
        <v>54</v>
      </c>
      <c r="C62" s="1292">
        <v>4</v>
      </c>
      <c r="D62" s="1292">
        <v>784302</v>
      </c>
      <c r="E62" s="1292">
        <v>11</v>
      </c>
      <c r="F62" s="1292">
        <v>313239</v>
      </c>
    </row>
    <row r="63" spans="1:6">
      <c r="A63" s="1291" t="s">
        <v>48</v>
      </c>
      <c r="B63" s="1291" t="s">
        <v>28</v>
      </c>
      <c r="C63" s="1292">
        <v>0</v>
      </c>
      <c r="D63" s="1292">
        <v>0</v>
      </c>
      <c r="E63" s="1292">
        <v>1</v>
      </c>
      <c r="F63" s="1292">
        <v>9132</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81665</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31053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20167773</v>
      </c>
      <c r="E73" s="443"/>
      <c r="F73" s="324"/>
    </row>
    <row r="74" spans="1:6">
      <c r="A74" s="1291" t="s">
        <v>63</v>
      </c>
      <c r="B74" s="1291" t="s">
        <v>648</v>
      </c>
      <c r="C74" s="1305" t="s">
        <v>650</v>
      </c>
      <c r="D74" s="1306">
        <v>1562352</v>
      </c>
      <c r="E74" s="443"/>
      <c r="F74" s="324"/>
    </row>
    <row r="75" spans="1:6">
      <c r="A75" s="1291" t="s">
        <v>64</v>
      </c>
      <c r="B75" s="1291" t="s">
        <v>647</v>
      </c>
      <c r="C75" s="1305" t="s">
        <v>651</v>
      </c>
      <c r="D75" s="1306">
        <v>23443254</v>
      </c>
      <c r="E75" s="443"/>
      <c r="F75" s="324"/>
    </row>
    <row r="76" spans="1:6">
      <c r="A76" s="1291" t="s">
        <v>64</v>
      </c>
      <c r="B76" s="1291" t="s">
        <v>648</v>
      </c>
      <c r="C76" s="1305" t="s">
        <v>652</v>
      </c>
      <c r="D76" s="1306">
        <v>699674</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294836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2627.0187389823504</v>
      </c>
      <c r="C91" s="324"/>
      <c r="D91" s="324"/>
      <c r="E91" s="324"/>
      <c r="F91" s="324"/>
    </row>
    <row r="92" spans="1:6">
      <c r="A92" s="1286" t="s">
        <v>68</v>
      </c>
      <c r="B92" s="1287">
        <v>2077.5718589325052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248</v>
      </c>
      <c r="C97" s="324"/>
      <c r="D97" s="324"/>
      <c r="E97" s="324"/>
      <c r="F97" s="324"/>
    </row>
    <row r="98" spans="1:6">
      <c r="A98" s="1291" t="s">
        <v>71</v>
      </c>
      <c r="B98" s="1292">
        <v>0</v>
      </c>
      <c r="C98" s="324"/>
      <c r="D98" s="324"/>
      <c r="E98" s="324"/>
      <c r="F98" s="324"/>
    </row>
    <row r="99" spans="1:6">
      <c r="A99" s="1291" t="s">
        <v>72</v>
      </c>
      <c r="B99" s="1292">
        <v>43</v>
      </c>
      <c r="C99" s="324"/>
      <c r="D99" s="324"/>
      <c r="E99" s="324"/>
      <c r="F99" s="324"/>
    </row>
    <row r="100" spans="1:6">
      <c r="A100" s="1291" t="s">
        <v>73</v>
      </c>
      <c r="B100" s="1292">
        <v>67</v>
      </c>
      <c r="C100" s="324"/>
      <c r="D100" s="324"/>
      <c r="E100" s="324"/>
      <c r="F100" s="324"/>
    </row>
    <row r="101" spans="1:6">
      <c r="A101" s="1291" t="s">
        <v>74</v>
      </c>
      <c r="B101" s="1292">
        <v>56</v>
      </c>
      <c r="C101" s="324"/>
      <c r="D101" s="324"/>
      <c r="E101" s="324"/>
      <c r="F101" s="324"/>
    </row>
    <row r="102" spans="1:6">
      <c r="A102" s="1291" t="s">
        <v>75</v>
      </c>
      <c r="B102" s="1292">
        <v>47</v>
      </c>
      <c r="C102" s="324"/>
      <c r="D102" s="324"/>
      <c r="E102" s="324"/>
      <c r="F102" s="324"/>
    </row>
    <row r="103" spans="1:6">
      <c r="A103" s="1291" t="s">
        <v>76</v>
      </c>
      <c r="B103" s="1292">
        <v>114</v>
      </c>
      <c r="C103" s="324"/>
      <c r="D103" s="324"/>
      <c r="E103" s="324"/>
      <c r="F103" s="324"/>
    </row>
    <row r="104" spans="1:6">
      <c r="A104" s="1291" t="s">
        <v>77</v>
      </c>
      <c r="B104" s="1292">
        <v>2465</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23</v>
      </c>
      <c r="C123" s="1292">
        <v>12</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75</v>
      </c>
      <c r="C129" s="324"/>
      <c r="D129" s="324"/>
      <c r="E129" s="324"/>
      <c r="F129" s="324"/>
    </row>
    <row r="130" spans="1:6">
      <c r="A130" s="1291" t="s">
        <v>289</v>
      </c>
      <c r="B130" s="1292">
        <v>0</v>
      </c>
      <c r="C130" s="324"/>
      <c r="D130" s="324"/>
      <c r="E130" s="324"/>
      <c r="F130" s="324"/>
    </row>
    <row r="131" spans="1:6">
      <c r="A131" s="1291" t="s">
        <v>290</v>
      </c>
      <c r="B131" s="1292">
        <v>1</v>
      </c>
      <c r="C131" s="324"/>
      <c r="D131" s="324"/>
      <c r="E131" s="324"/>
      <c r="F131" s="324"/>
    </row>
    <row r="132" spans="1:6">
      <c r="A132" s="1286" t="s">
        <v>291</v>
      </c>
      <c r="B132" s="1287">
        <v>12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42045.995715622252</v>
      </c>
      <c r="C3" s="43" t="s">
        <v>169</v>
      </c>
      <c r="D3" s="43"/>
      <c r="E3" s="154"/>
      <c r="F3" s="43"/>
      <c r="G3" s="43"/>
      <c r="H3" s="43"/>
      <c r="I3" s="43"/>
      <c r="J3" s="43"/>
      <c r="K3" s="96"/>
    </row>
    <row r="4" spans="1:11">
      <c r="A4" s="352" t="s">
        <v>170</v>
      </c>
      <c r="B4" s="49">
        <f>IF(ISERROR('SEAP template'!B78+'SEAP template'!C78),0,'SEAP template'!B78+'SEAP template'!C78)</f>
        <v>15257.090597914856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0.14080646516390194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15075</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574.27200000000005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574.27200000000005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0.14080646516390194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80.861210362604297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11935.579699999998</v>
      </c>
      <c r="C5" s="17">
        <f>IF(ISERROR('Eigen informatie GS &amp; warmtenet'!B57),0,'Eigen informatie GS &amp; warmtenet'!B57)</f>
        <v>0</v>
      </c>
      <c r="D5" s="30">
        <f>(SUM(HH_hh_gas_kWh,HH_rest_gas_kWh)/1000)*0.902</f>
        <v>14796.048147100002</v>
      </c>
      <c r="E5" s="17">
        <f>B32*B41</f>
        <v>1423.924778031849</v>
      </c>
      <c r="F5" s="17">
        <f>B36*B45</f>
        <v>36075.871105414939</v>
      </c>
      <c r="G5" s="18"/>
      <c r="H5" s="17"/>
      <c r="I5" s="17"/>
      <c r="J5" s="17">
        <f>B35*B44+C35*C44</f>
        <v>173.59304436389334</v>
      </c>
      <c r="K5" s="17"/>
      <c r="L5" s="17"/>
      <c r="M5" s="17"/>
      <c r="N5" s="17">
        <f>B34*B43+C34*C43</f>
        <v>5601.0952002512095</v>
      </c>
      <c r="O5" s="17">
        <f>B52*B53*B54</f>
        <v>136.01000000000002</v>
      </c>
      <c r="P5" s="17">
        <f>B60*B61*B62/1000-B60*B61*B62/1000/B63</f>
        <v>667.33333333333337</v>
      </c>
    </row>
    <row r="6" spans="1:16">
      <c r="A6" s="16" t="s">
        <v>613</v>
      </c>
      <c r="B6" s="756">
        <f>kWh_PV_kleiner_dan_10kW</f>
        <v>2627.0187389823504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14562.59843898235</v>
      </c>
      <c r="C8" s="21">
        <f>C5</f>
        <v>0</v>
      </c>
      <c r="D8" s="21">
        <f>D5</f>
        <v>14796.048147100002</v>
      </c>
      <c r="E8" s="21">
        <f>E5</f>
        <v>1423.924778031849</v>
      </c>
      <c r="F8" s="21">
        <f>F5</f>
        <v>36075.871105414939</v>
      </c>
      <c r="G8" s="21"/>
      <c r="H8" s="21"/>
      <c r="I8" s="21"/>
      <c r="J8" s="21">
        <f>J5</f>
        <v>173.59304436389334</v>
      </c>
      <c r="K8" s="21"/>
      <c r="L8" s="21">
        <f>L5</f>
        <v>0</v>
      </c>
      <c r="M8" s="21">
        <f>M5</f>
        <v>0</v>
      </c>
      <c r="N8" s="21">
        <f>N5</f>
        <v>5601.0952002512095</v>
      </c>
      <c r="O8" s="21">
        <f>O5</f>
        <v>136.01000000000002</v>
      </c>
      <c r="P8" s="21">
        <f>P5</f>
        <v>667.33333333333337</v>
      </c>
    </row>
    <row r="9" spans="1:16">
      <c r="B9" s="19"/>
      <c r="C9" s="19"/>
      <c r="D9" s="254"/>
      <c r="E9" s="19"/>
      <c r="F9" s="19"/>
      <c r="G9" s="19"/>
      <c r="H9" s="19"/>
      <c r="I9" s="19"/>
      <c r="J9" s="19"/>
      <c r="K9" s="19"/>
      <c r="L9" s="19"/>
      <c r="M9" s="19"/>
      <c r="N9" s="19"/>
      <c r="O9" s="19"/>
      <c r="P9" s="19"/>
    </row>
    <row r="10" spans="1:16">
      <c r="A10" s="24" t="s">
        <v>213</v>
      </c>
      <c r="B10" s="25">
        <f ca="1">'EF ele_warmte'!B12</f>
        <v>0.14080646516390194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2050.508009794461</v>
      </c>
      <c r="C12" s="23">
        <f ca="1">C10*C8</f>
        <v>0</v>
      </c>
      <c r="D12" s="23">
        <f>D8*D10</f>
        <v>2988.8017257142005</v>
      </c>
      <c r="E12" s="23">
        <f>E10*E8</f>
        <v>323.23092461322972</v>
      </c>
      <c r="F12" s="23">
        <f>F10*F8</f>
        <v>9632.2575851457896</v>
      </c>
      <c r="G12" s="23"/>
      <c r="H12" s="23"/>
      <c r="I12" s="23"/>
      <c r="J12" s="23">
        <f>J10*J8</f>
        <v>61.451937704818242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3471</v>
      </c>
      <c r="C26" s="36"/>
      <c r="D26" s="225"/>
    </row>
    <row r="27" spans="1:5" s="15" customFormat="1">
      <c r="A27" s="227" t="s">
        <v>768</v>
      </c>
      <c r="B27" s="37">
        <f>SUM(HH_hh_gas_aantal,HH_rest_gas_aantal)</f>
        <v>1040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988</v>
      </c>
      <c r="C31" s="34" t="s">
        <v>110</v>
      </c>
      <c r="D31" s="171"/>
    </row>
    <row r="32" spans="1:5">
      <c r="A32" s="168" t="s">
        <v>72</v>
      </c>
      <c r="B32" s="33">
        <f>IF((B21*($B$26-($B$27-0.05*$B$27)-$B$60))&lt;0,0,B21*($B$26-($B$27-0.05*$B$27)-$B$60))</f>
        <v>26.929210044902643</v>
      </c>
      <c r="C32" s="34" t="s">
        <v>110</v>
      </c>
      <c r="D32" s="171"/>
    </row>
    <row r="33" spans="1:6">
      <c r="A33" s="168" t="s">
        <v>73</v>
      </c>
      <c r="B33" s="33">
        <f>IF((B22*($B$26-($B$27-0.05*$B$27)-$B$60))&lt;0,0,B22*($B$26-($B$27-0.05*$B$27)-$B$60))</f>
        <v>559.88089115694811</v>
      </c>
      <c r="C33" s="34" t="s">
        <v>110</v>
      </c>
      <c r="D33" s="171"/>
    </row>
    <row r="34" spans="1:6">
      <c r="A34" s="168" t="s">
        <v>74</v>
      </c>
      <c r="B34" s="33">
        <f>IF((B24*($B$26-($B$27-0.05*$B$27)-$B$60))&lt;0,0,B24*($B$26-($B$27-0.05*$B$27)-$B$60))</f>
        <v>111.34040585119632</v>
      </c>
      <c r="C34" s="33">
        <f>B26*C24</f>
        <v>710.4982614482791</v>
      </c>
      <c r="D34" s="230"/>
    </row>
    <row r="35" spans="1:6">
      <c r="A35" s="168" t="s">
        <v>76</v>
      </c>
      <c r="B35" s="33">
        <f>IF((B19*($B$26-($B$27-0.05*$B$27)-$B$60))&lt;0,0,B19*($B$26-($B$27-0.05*$B$27)-$B$60))</f>
        <v>20.382508209028011</v>
      </c>
      <c r="C35" s="33">
        <f>B35/2</f>
        <v>10.191254104514005</v>
      </c>
      <c r="D35" s="230"/>
    </row>
    <row r="36" spans="1:6">
      <c r="A36" s="168" t="s">
        <v>77</v>
      </c>
      <c r="B36" s="33">
        <f>IF((B18*($B$26-($B$27-0.05*$B$27)-$B$60))&lt;0,0,B18*($B$26-($B$27-0.05*$B$27)-$B$60))</f>
        <v>1729.466984737925</v>
      </c>
      <c r="C36" s="34" t="s">
        <v>110</v>
      </c>
      <c r="D36" s="171"/>
    </row>
    <row r="37" spans="1:6">
      <c r="A37" s="168" t="s">
        <v>78</v>
      </c>
      <c r="B37" s="33">
        <f>B60</f>
        <v>35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87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12857.531949999999</v>
      </c>
      <c r="C5" s="17">
        <f>IF(ISERROR('Eigen informatie GS &amp; warmtenet'!B58),0,'Eigen informatie GS &amp; warmtenet'!B58)</f>
        <v>0</v>
      </c>
      <c r="D5" s="30">
        <f>SUM(D6:D12)</f>
        <v>5015.3107730000002</v>
      </c>
      <c r="E5" s="17">
        <f>SUM(E6:E12)</f>
        <v>288.71428517869845</v>
      </c>
      <c r="F5" s="17">
        <f>SUM(F6:F12)</f>
        <v>2495.9557216155258</v>
      </c>
      <c r="G5" s="18"/>
      <c r="H5" s="17"/>
      <c r="I5" s="17"/>
      <c r="J5" s="17">
        <f>SUM(J6:J12)</f>
        <v>4.9975183764747466E-2</v>
      </c>
      <c r="K5" s="17"/>
      <c r="L5" s="17"/>
      <c r="M5" s="17"/>
      <c r="N5" s="17">
        <f>SUM(N6:N12)</f>
        <v>1976.1088486016881</v>
      </c>
      <c r="O5" s="17">
        <f>B38*B39*B40</f>
        <v>0</v>
      </c>
      <c r="P5" s="17">
        <f>B46*B47*B48/1000-B46*B47*B48/1000/B49</f>
        <v>19.066666666666666</v>
      </c>
      <c r="R5" s="32"/>
    </row>
    <row r="6" spans="1:18">
      <c r="A6" s="32" t="s">
        <v>53</v>
      </c>
      <c r="B6" s="37">
        <f>B26</f>
        <v>1546.79935</v>
      </c>
      <c r="C6" s="33"/>
      <c r="D6" s="37">
        <f>IF(ISERROR(TER_kantoor_gas_kWh/1000),0,TER_kantoor_gas_kWh/1000)*0.902</f>
        <v>1736.4211677999999</v>
      </c>
      <c r="E6" s="33">
        <f>$C$26*'E Balans VL '!I12/100/3.6*1000000</f>
        <v>9.6948238683958916E-3</v>
      </c>
      <c r="F6" s="33">
        <f>$C$26*('E Balans VL '!L12+'E Balans VL '!N12)/100/3.6*1000000</f>
        <v>232.44072060894521</v>
      </c>
      <c r="G6" s="34"/>
      <c r="H6" s="33"/>
      <c r="I6" s="33"/>
      <c r="J6" s="33">
        <f>$C$26*('E Balans VL '!D12+'E Balans VL '!E12)/100/3.6*1000000</f>
        <v>0</v>
      </c>
      <c r="K6" s="33"/>
      <c r="L6" s="33"/>
      <c r="M6" s="33"/>
      <c r="N6" s="33">
        <f>$C$26*'E Balans VL '!Y12/100/3.6*1000000</f>
        <v>1.4792842401028361</v>
      </c>
      <c r="O6" s="33"/>
      <c r="P6" s="33"/>
      <c r="R6" s="32"/>
    </row>
    <row r="7" spans="1:18">
      <c r="A7" s="32" t="s">
        <v>52</v>
      </c>
      <c r="B7" s="37">
        <f t="shared" ref="B7:B12" si="0">B27</f>
        <v>686.88499999999999</v>
      </c>
      <c r="C7" s="33"/>
      <c r="D7" s="37">
        <f>IF(ISERROR(TER_horeca_gas_kWh/1000),0,TER_horeca_gas_kWh/1000)*0.902</f>
        <v>640.64279399999998</v>
      </c>
      <c r="E7" s="33">
        <f>$C$27*'E Balans VL '!I9/100/3.6*1000000</f>
        <v>9.8360787868002628</v>
      </c>
      <c r="F7" s="33">
        <f>$C$27*('E Balans VL '!L9+'E Balans VL '!N9)/100/3.6*1000000</f>
        <v>86.982295340078025</v>
      </c>
      <c r="G7" s="34"/>
      <c r="H7" s="33"/>
      <c r="I7" s="33"/>
      <c r="J7" s="33">
        <f>$C$27*('E Balans VL '!D9+'E Balans VL '!E9)/100/3.6*1000000</f>
        <v>0</v>
      </c>
      <c r="K7" s="33"/>
      <c r="L7" s="33"/>
      <c r="M7" s="33"/>
      <c r="N7" s="33">
        <f>$C$27*'E Balans VL '!Y9/100/3.6*1000000</f>
        <v>0.19746429298575005</v>
      </c>
      <c r="O7" s="33"/>
      <c r="P7" s="33"/>
      <c r="R7" s="32"/>
    </row>
    <row r="8" spans="1:18">
      <c r="A8" s="6" t="s">
        <v>51</v>
      </c>
      <c r="B8" s="37">
        <f t="shared" si="0"/>
        <v>7478.7428</v>
      </c>
      <c r="C8" s="33"/>
      <c r="D8" s="37">
        <f>IF(ISERROR(TER_handel_gas_kWh/1000),0,TER_handel_gas_kWh/1000)*0.902</f>
        <v>839.60054200000002</v>
      </c>
      <c r="E8" s="33">
        <f>$C$28*'E Balans VL '!I13/100/3.6*1000000</f>
        <v>271.25307911875552</v>
      </c>
      <c r="F8" s="33">
        <f>$C$28*('E Balans VL '!L13+'E Balans VL '!N13)/100/3.6*1000000</f>
        <v>1440.4815903654278</v>
      </c>
      <c r="G8" s="34"/>
      <c r="H8" s="33"/>
      <c r="I8" s="33"/>
      <c r="J8" s="33">
        <f>$C$28*('E Balans VL '!D13+'E Balans VL '!E13)/100/3.6*1000000</f>
        <v>0</v>
      </c>
      <c r="K8" s="33"/>
      <c r="L8" s="33"/>
      <c r="M8" s="33"/>
      <c r="N8" s="33">
        <f>$C$28*'E Balans VL '!Y13/100/3.6*1000000</f>
        <v>10.359779559973703</v>
      </c>
      <c r="O8" s="33"/>
      <c r="P8" s="33"/>
      <c r="R8" s="32"/>
    </row>
    <row r="9" spans="1:18">
      <c r="A9" s="32" t="s">
        <v>50</v>
      </c>
      <c r="B9" s="37">
        <f t="shared" si="0"/>
        <v>521.39379999999994</v>
      </c>
      <c r="C9" s="33"/>
      <c r="D9" s="37">
        <f>IF(ISERROR(TER_gezond_gas_kWh/1000),0,TER_gezond_gas_kWh/1000)*0.902</f>
        <v>969.91572920000021</v>
      </c>
      <c r="E9" s="33">
        <f>$C$29*'E Balans VL '!I10/100/3.6*1000000</f>
        <v>3.2644399713765052E-2</v>
      </c>
      <c r="F9" s="33">
        <f>$C$29*('E Balans VL '!L10+'E Balans VL '!N10)/100/3.6*1000000</f>
        <v>77.454636482936166</v>
      </c>
      <c r="G9" s="34"/>
      <c r="H9" s="33"/>
      <c r="I9" s="33"/>
      <c r="J9" s="33">
        <f>$C$29*('E Balans VL '!D10+'E Balans VL '!E10)/100/3.6*1000000</f>
        <v>0</v>
      </c>
      <c r="K9" s="33"/>
      <c r="L9" s="33"/>
      <c r="M9" s="33"/>
      <c r="N9" s="33">
        <f>$C$29*'E Balans VL '!Y10/100/3.6*1000000</f>
        <v>8.0649696086011762</v>
      </c>
      <c r="O9" s="33"/>
      <c r="P9" s="33"/>
      <c r="R9" s="32"/>
    </row>
    <row r="10" spans="1:18">
      <c r="A10" s="32" t="s">
        <v>49</v>
      </c>
      <c r="B10" s="37">
        <f t="shared" si="0"/>
        <v>2301.34</v>
      </c>
      <c r="C10" s="33"/>
      <c r="D10" s="37">
        <f>IF(ISERROR(TER_ander_gas_kWh/1000),0,TER_ander_gas_kWh/1000)*0.902</f>
        <v>121.29013599999999</v>
      </c>
      <c r="E10" s="33">
        <f>$C$30*'E Balans VL '!I14/100/3.6*1000000</f>
        <v>2.7431150440038419</v>
      </c>
      <c r="F10" s="33">
        <f>$C$30*('E Balans VL '!L14+'E Balans VL '!N14)/100/3.6*1000000</f>
        <v>602.13285354068705</v>
      </c>
      <c r="G10" s="34"/>
      <c r="H10" s="33"/>
      <c r="I10" s="33"/>
      <c r="J10" s="33">
        <f>$C$30*('E Balans VL '!D14+'E Balans VL '!E14)/100/3.6*1000000</f>
        <v>4.9953070396287581E-2</v>
      </c>
      <c r="K10" s="33"/>
      <c r="L10" s="33"/>
      <c r="M10" s="33"/>
      <c r="N10" s="33">
        <f>$C$30*'E Balans VL '!Y14/100/3.6*1000000</f>
        <v>1954.2416150028619</v>
      </c>
      <c r="O10" s="33"/>
      <c r="P10" s="33"/>
      <c r="R10" s="32"/>
    </row>
    <row r="11" spans="1:18">
      <c r="A11" s="32" t="s">
        <v>54</v>
      </c>
      <c r="B11" s="37">
        <f t="shared" si="0"/>
        <v>313.23899999999998</v>
      </c>
      <c r="C11" s="33"/>
      <c r="D11" s="37">
        <f>IF(ISERROR(TER_onderwijs_gas_kWh/1000),0,TER_onderwijs_gas_kWh/1000)*0.902</f>
        <v>707.44040400000006</v>
      </c>
      <c r="E11" s="33">
        <f>$C$31*'E Balans VL '!I11/100/3.6*1000000</f>
        <v>4.7262719906159063</v>
      </c>
      <c r="F11" s="33">
        <f>$C$31*('E Balans VL '!L11+'E Balans VL '!N11)/100/3.6*1000000</f>
        <v>54.884476941896558</v>
      </c>
      <c r="G11" s="34"/>
      <c r="H11" s="33"/>
      <c r="I11" s="33"/>
      <c r="J11" s="33">
        <f>$C$31*('E Balans VL '!D11+'E Balans VL '!E11)/100/3.6*1000000</f>
        <v>0</v>
      </c>
      <c r="K11" s="33"/>
      <c r="L11" s="33"/>
      <c r="M11" s="33"/>
      <c r="N11" s="33">
        <f>$C$31*'E Balans VL '!Y11/100/3.6*1000000</f>
        <v>0.88147835933563656</v>
      </c>
      <c r="O11" s="33"/>
      <c r="P11" s="33"/>
      <c r="R11" s="32"/>
    </row>
    <row r="12" spans="1:18">
      <c r="A12" s="32" t="s">
        <v>254</v>
      </c>
      <c r="B12" s="37">
        <f t="shared" si="0"/>
        <v>9.1319999999999997</v>
      </c>
      <c r="C12" s="33"/>
      <c r="D12" s="37">
        <f>IF(ISERROR(TER_rest_gas_kWh/1000),0,TER_rest_gas_kWh/1000)*0.902</f>
        <v>0</v>
      </c>
      <c r="E12" s="33">
        <f>$C$32*'E Balans VL '!I8/100/3.6*1000000</f>
        <v>0.11340101494081492</v>
      </c>
      <c r="F12" s="33">
        <f>$C$32*('E Balans VL '!L8+'E Balans VL '!N8)/100/3.6*1000000</f>
        <v>1.5791483355551086</v>
      </c>
      <c r="G12" s="34"/>
      <c r="H12" s="33"/>
      <c r="I12" s="33"/>
      <c r="J12" s="33">
        <f>$C$32*('E Balans VL '!D8+'E Balans VL '!E8)/100/3.6*1000000</f>
        <v>2.2113368459883589E-5</v>
      </c>
      <c r="K12" s="33"/>
      <c r="L12" s="33"/>
      <c r="M12" s="33"/>
      <c r="N12" s="33">
        <f>$C$32*'E Balans VL '!Y8/100/3.6*1000000</f>
        <v>0.88425753782722349</v>
      </c>
      <c r="O12" s="33"/>
      <c r="P12" s="33"/>
      <c r="R12" s="32"/>
    </row>
    <row r="13" spans="1:18">
      <c r="A13" s="16" t="s">
        <v>480</v>
      </c>
      <c r="B13" s="243">
        <f ca="1">'lokale energieproductie'!N38+'lokale energieproductie'!N31</f>
        <v>10552.5</v>
      </c>
      <c r="C13" s="243">
        <f ca="1">'lokale energieproductie'!O38+'lokale energieproductie'!O31</f>
        <v>15075</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-30150.000000000004</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23410.031949999997</v>
      </c>
      <c r="C16" s="21">
        <f t="shared" ca="1" si="1"/>
        <v>15075</v>
      </c>
      <c r="D16" s="21">
        <f t="shared" ca="1" si="1"/>
        <v>5015.3107730000002</v>
      </c>
      <c r="E16" s="21">
        <f t="shared" si="1"/>
        <v>288.71428517869845</v>
      </c>
      <c r="F16" s="21">
        <f t="shared" ca="1" si="1"/>
        <v>2495.9557216155258</v>
      </c>
      <c r="G16" s="21">
        <f t="shared" si="1"/>
        <v>0</v>
      </c>
      <c r="H16" s="21">
        <f t="shared" si="1"/>
        <v>0</v>
      </c>
      <c r="I16" s="21">
        <f t="shared" si="1"/>
        <v>0</v>
      </c>
      <c r="J16" s="21">
        <f t="shared" si="1"/>
        <v>4.9975183764747466E-2</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0.14080646516390194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3296.2838482535058</v>
      </c>
      <c r="C20" s="23">
        <f t="shared" ref="C20:P20" ca="1" si="2">C16*C18</f>
        <v>0</v>
      </c>
      <c r="D20" s="23">
        <f t="shared" ca="1" si="2"/>
        <v>1013.0927761460001</v>
      </c>
      <c r="E20" s="23">
        <f t="shared" si="2"/>
        <v>65.538142735564549</v>
      </c>
      <c r="F20" s="23">
        <f t="shared" ca="1" si="2"/>
        <v>666.42017767134541</v>
      </c>
      <c r="G20" s="23">
        <f t="shared" si="2"/>
        <v>0</v>
      </c>
      <c r="H20" s="23">
        <f t="shared" si="2"/>
        <v>0</v>
      </c>
      <c r="I20" s="23">
        <f t="shared" si="2"/>
        <v>0</v>
      </c>
      <c r="J20" s="23">
        <f t="shared" si="2"/>
        <v>1.7691215052720602E-2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1546.79935</v>
      </c>
      <c r="C26" s="39">
        <f>IF(ISERROR(B26*3.6/1000000/'E Balans VL '!Z12*100),0,B26*3.6/1000000/'E Balans VL '!Z12*100)</f>
        <v>3.2696887930904181E-2</v>
      </c>
      <c r="D26" s="233" t="s">
        <v>732</v>
      </c>
      <c r="F26" s="6"/>
    </row>
    <row r="27" spans="1:18">
      <c r="A27" s="228" t="s">
        <v>52</v>
      </c>
      <c r="B27" s="33">
        <f>IF(ISERROR(TER_horeca_ele_kWh/1000),0,TER_horeca_ele_kWh/1000)</f>
        <v>686.88499999999999</v>
      </c>
      <c r="C27" s="39">
        <f>IF(ISERROR(B27*3.6/1000000/'E Balans VL '!Z9*100),0,B27*3.6/1000000/'E Balans VL '!Z9*100)</f>
        <v>5.4146888534890456E-2</v>
      </c>
      <c r="D27" s="233" t="s">
        <v>732</v>
      </c>
      <c r="F27" s="6"/>
    </row>
    <row r="28" spans="1:18">
      <c r="A28" s="168" t="s">
        <v>51</v>
      </c>
      <c r="B28" s="33">
        <f>IF(ISERROR(TER_handel_ele_kWh/1000),0,TER_handel_ele_kWh/1000)</f>
        <v>7478.7428</v>
      </c>
      <c r="C28" s="39">
        <f>IF(ISERROR(B28*3.6/1000000/'E Balans VL '!Z13*100),0,B28*3.6/1000000/'E Balans VL '!Z13*100)</f>
        <v>0.21706333356296811</v>
      </c>
      <c r="D28" s="233" t="s">
        <v>732</v>
      </c>
      <c r="F28" s="6"/>
    </row>
    <row r="29" spans="1:18">
      <c r="A29" s="228" t="s">
        <v>50</v>
      </c>
      <c r="B29" s="33">
        <f>IF(ISERROR(TER_gezond_ele_kWh/1000),0,TER_gezond_ele_kWh/1000)</f>
        <v>521.39379999999994</v>
      </c>
      <c r="C29" s="39">
        <f>IF(ISERROR(B29*3.6/1000000/'E Balans VL '!Z10*100),0,B29*3.6/1000000/'E Balans VL '!Z10*100)</f>
        <v>5.4911328652186828E-2</v>
      </c>
      <c r="D29" s="233" t="s">
        <v>732</v>
      </c>
      <c r="F29" s="6"/>
    </row>
    <row r="30" spans="1:18">
      <c r="A30" s="228" t="s">
        <v>49</v>
      </c>
      <c r="B30" s="33">
        <f>IF(ISERROR(TER_ander_ele_kWh/1000),0,TER_ander_ele_kWh/1000)</f>
        <v>2301.34</v>
      </c>
      <c r="C30" s="39">
        <f>IF(ISERROR(B30*3.6/1000000/'E Balans VL '!Z14*100),0,B30*3.6/1000000/'E Balans VL '!Z14*100)</f>
        <v>0.16974733824856156</v>
      </c>
      <c r="D30" s="233" t="s">
        <v>732</v>
      </c>
      <c r="F30" s="6"/>
    </row>
    <row r="31" spans="1:18">
      <c r="A31" s="228" t="s">
        <v>54</v>
      </c>
      <c r="B31" s="33">
        <f>IF(ISERROR(TER_onderwijs_ele_kWh/1000),0,TER_onderwijs_ele_kWh/1000)</f>
        <v>313.23899999999998</v>
      </c>
      <c r="C31" s="39">
        <f>IF(ISERROR(B31*3.6/1000000/'E Balans VL '!Z11*100),0,B31*3.6/1000000/'E Balans VL '!Z11*100)</f>
        <v>7.7791916678881953E-2</v>
      </c>
      <c r="D31" s="233" t="s">
        <v>732</v>
      </c>
    </row>
    <row r="32" spans="1:18">
      <c r="A32" s="228" t="s">
        <v>254</v>
      </c>
      <c r="B32" s="33">
        <f>IF(ISERROR(TER_rest_ele_kWh/1000),0,TER_rest_ele_kWh/1000)</f>
        <v>9.1319999999999997</v>
      </c>
      <c r="C32" s="39">
        <f>IF(ISERROR(B32*3.6/1000000/'E Balans VL '!Z8*100),0,B32*3.6/1000000/'E Balans VL '!Z8*100)</f>
        <v>7.5144238502182235E-5</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768.91430000000003</v>
      </c>
      <c r="C5" s="17">
        <f>IF(ISERROR('Eigen informatie GS &amp; warmtenet'!B59),0,'Eigen informatie GS &amp; warmtenet'!B59)</f>
        <v>0</v>
      </c>
      <c r="D5" s="30">
        <f>SUM(D6:D15)</f>
        <v>581.87695280000003</v>
      </c>
      <c r="E5" s="17">
        <f>SUM(E6:E15)</f>
        <v>154.5542406488216</v>
      </c>
      <c r="F5" s="17">
        <f>SUM(F6:F15)</f>
        <v>438.80772048669587</v>
      </c>
      <c r="G5" s="18"/>
      <c r="H5" s="17"/>
      <c r="I5" s="17"/>
      <c r="J5" s="17">
        <f>SUM(J6:J15)</f>
        <v>3.6507069827068098E-2</v>
      </c>
      <c r="K5" s="17"/>
      <c r="L5" s="17"/>
      <c r="M5" s="17"/>
      <c r="N5" s="17">
        <f>SUM(N6:N15)</f>
        <v>61.798501747901817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64.302999999999997</v>
      </c>
      <c r="C8" s="33"/>
      <c r="D8" s="37">
        <f>IF( ISERROR(IND_metaal_Gas_kWH/1000),0,IND_metaal_Gas_kWH/1000)*0.902</f>
        <v>0</v>
      </c>
      <c r="E8" s="33">
        <f>C30*'E Balans VL '!I18/100/3.6*1000000</f>
        <v>0.59120398057198509</v>
      </c>
      <c r="F8" s="33">
        <f>C30*'E Balans VL '!L18/100/3.6*1000000+C30*'E Balans VL '!N18/100/3.6*1000000</f>
        <v>6.029480536421973</v>
      </c>
      <c r="G8" s="34"/>
      <c r="H8" s="33"/>
      <c r="I8" s="33"/>
      <c r="J8" s="40">
        <f>C30*'E Balans VL '!D18/100/3.6*1000000+C30*'E Balans VL '!E18/100/3.6*1000000</f>
        <v>0</v>
      </c>
      <c r="K8" s="33"/>
      <c r="L8" s="33"/>
      <c r="M8" s="33"/>
      <c r="N8" s="33">
        <f>C30*'E Balans VL '!Y18/100/3.6*1000000</f>
        <v>0.91738856018243831</v>
      </c>
      <c r="O8" s="33"/>
      <c r="P8" s="33"/>
      <c r="R8" s="32"/>
    </row>
    <row r="9" spans="1:18">
      <c r="A9" s="6" t="s">
        <v>32</v>
      </c>
      <c r="B9" s="37">
        <f t="shared" si="0"/>
        <v>523.75329999999997</v>
      </c>
      <c r="C9" s="33"/>
      <c r="D9" s="37">
        <f>IF( ISERROR(IND_andere_gas_kWh/1000),0,IND_andere_gas_kWh/1000)*0.902</f>
        <v>503.69429880000001</v>
      </c>
      <c r="E9" s="33">
        <f>C31*'E Balans VL '!I19/100/3.6*1000000</f>
        <v>153.10328586410739</v>
      </c>
      <c r="F9" s="33">
        <f>C31*'E Balans VL '!L19/100/3.6*1000000+C31*'E Balans VL '!N19/100/3.6*1000000</f>
        <v>420.87542103204026</v>
      </c>
      <c r="G9" s="34"/>
      <c r="H9" s="33"/>
      <c r="I9" s="33"/>
      <c r="J9" s="40">
        <f>C31*'E Balans VL '!D19/100/3.6*1000000+C31*'E Balans VL '!E19/100/3.6*1000000</f>
        <v>0</v>
      </c>
      <c r="K9" s="33"/>
      <c r="L9" s="33"/>
      <c r="M9" s="33"/>
      <c r="N9" s="33">
        <f>C31*'E Balans VL '!Y19/100/3.6*1000000</f>
        <v>41.082497506572309</v>
      </c>
      <c r="O9" s="33"/>
      <c r="P9" s="33"/>
      <c r="R9" s="32"/>
    </row>
    <row r="10" spans="1:18">
      <c r="A10" s="6" t="s">
        <v>40</v>
      </c>
      <c r="B10" s="37">
        <f t="shared" si="0"/>
        <v>150.07300000000001</v>
      </c>
      <c r="C10" s="33"/>
      <c r="D10" s="37">
        <f>IF( ISERROR(IND_voed_gas_kWh/1000),0,IND_voed_gas_kWh/1000)*0.902</f>
        <v>0</v>
      </c>
      <c r="E10" s="33">
        <f>C32*'E Balans VL '!I20/100/3.6*1000000</f>
        <v>0.31748175840942461</v>
      </c>
      <c r="F10" s="33">
        <f>C32*'E Balans VL '!L20/100/3.6*1000000+C32*'E Balans VL '!N20/100/3.6*1000000</f>
        <v>9.5417946350741918</v>
      </c>
      <c r="G10" s="34"/>
      <c r="H10" s="33"/>
      <c r="I10" s="33"/>
      <c r="J10" s="40">
        <f>C32*'E Balans VL '!D20/100/3.6*1000000+C32*'E Balans VL '!E20/100/3.6*1000000</f>
        <v>0</v>
      </c>
      <c r="K10" s="33"/>
      <c r="L10" s="33"/>
      <c r="M10" s="33"/>
      <c r="N10" s="33">
        <f>C32*'E Balans VL '!Y20/100/3.6*1000000</f>
        <v>10.356517956550556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21.516999999999999</v>
      </c>
      <c r="C13" s="33"/>
      <c r="D13" s="37">
        <f>IF( ISERROR(IND_papier_gas_kWh/1000),0,IND_papier_gas_kWh/1000)*0.902</f>
        <v>35.875246000000004</v>
      </c>
      <c r="E13" s="33">
        <f>C35*'E Balans VL '!I23/100/3.6*1000000</f>
        <v>3.0527702100300848E-2</v>
      </c>
      <c r="F13" s="33">
        <f>C35*'E Balans VL '!L23/100/3.6*1000000+C35*'E Balans VL '!N23/100/3.6*1000000</f>
        <v>0.52531087913656871</v>
      </c>
      <c r="G13" s="34"/>
      <c r="H13" s="33"/>
      <c r="I13" s="33"/>
      <c r="J13" s="40">
        <f>C35*'E Balans VL '!D23/100/3.6*1000000+C35*'E Balans VL '!E23/100/3.6*1000000</f>
        <v>3.3278060639062128E-3</v>
      </c>
      <c r="K13" s="33"/>
      <c r="L13" s="33"/>
      <c r="M13" s="33"/>
      <c r="N13" s="33">
        <f>C35*'E Balans VL '!Y23/100/3.6*1000000</f>
        <v>8.7915342244229642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9.2680000000000007</v>
      </c>
      <c r="C15" s="33"/>
      <c r="D15" s="37">
        <f>IF( ISERROR(IND_rest_gas_kWh/1000),0,IND_rest_gas_kWh/1000)*0.902</f>
        <v>42.307408000000002</v>
      </c>
      <c r="E15" s="33">
        <f>C37*'E Balans VL '!I15/100/3.6*1000000</f>
        <v>0.51174134363251544</v>
      </c>
      <c r="F15" s="33">
        <f>C37*'E Balans VL '!L15/100/3.6*1000000+C37*'E Balans VL '!N15/100/3.6*1000000</f>
        <v>1.835713404022858</v>
      </c>
      <c r="G15" s="34"/>
      <c r="H15" s="33"/>
      <c r="I15" s="33"/>
      <c r="J15" s="40">
        <f>C37*'E Balans VL '!D15/100/3.6*1000000+C37*'E Balans VL '!E15/100/3.6*1000000</f>
        <v>3.3179263763161881E-2</v>
      </c>
      <c r="K15" s="33"/>
      <c r="L15" s="33"/>
      <c r="M15" s="33"/>
      <c r="N15" s="33">
        <f>C37*'E Balans VL '!Y15/100/3.6*1000000</f>
        <v>0.65056350017355502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768.91430000000003</v>
      </c>
      <c r="C18" s="21">
        <f>C5+C16</f>
        <v>0</v>
      </c>
      <c r="D18" s="21">
        <f>MAX((D5+D16),0)</f>
        <v>581.87695280000003</v>
      </c>
      <c r="E18" s="21">
        <f>MAX((E5+E16),0)</f>
        <v>154.5542406488216</v>
      </c>
      <c r="F18" s="21">
        <f>MAX((F5+F16),0)</f>
        <v>438.80772048669587</v>
      </c>
      <c r="G18" s="21"/>
      <c r="H18" s="21"/>
      <c r="I18" s="21"/>
      <c r="J18" s="21">
        <f>MAX((J5+J16),0)</f>
        <v>3.6507069827068098E-2</v>
      </c>
      <c r="K18" s="21"/>
      <c r="L18" s="21">
        <f>MAX((L5+L16),0)</f>
        <v>0</v>
      </c>
      <c r="M18" s="21"/>
      <c r="N18" s="21">
        <f>MAX((N5+N16),0)</f>
        <v>61.798501747901817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0.14080646516390194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108.26810459697604</v>
      </c>
      <c r="C22" s="23">
        <f ca="1">C18*C20</f>
        <v>0</v>
      </c>
      <c r="D22" s="23">
        <f>D18*D20</f>
        <v>117.53914446560002</v>
      </c>
      <c r="E22" s="23">
        <f>E18*E20</f>
        <v>35.083812627282505</v>
      </c>
      <c r="F22" s="23">
        <f>F18*F20</f>
        <v>117.16166136994781</v>
      </c>
      <c r="G22" s="23"/>
      <c r="H22" s="23"/>
      <c r="I22" s="23"/>
      <c r="J22" s="23">
        <f>J18*J20</f>
        <v>1.2923502718782107E-2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64.302999999999997</v>
      </c>
      <c r="C30" s="39">
        <f>IF(ISERROR(B30*3.6/1000000/'E Balans VL '!Z18*100),0,B30*3.6/1000000/'E Balans VL '!Z18*100)</f>
        <v>3.6442158936761905E-3</v>
      </c>
      <c r="D30" s="233" t="s">
        <v>732</v>
      </c>
    </row>
    <row r="31" spans="1:18">
      <c r="A31" s="6" t="s">
        <v>32</v>
      </c>
      <c r="B31" s="37">
        <f>IF( ISERROR(IND_ander_ele_kWh/1000),0,IND_ander_ele_kWh/1000)</f>
        <v>523.75329999999997</v>
      </c>
      <c r="C31" s="39">
        <f>IF(ISERROR(B31*3.6/1000000/'E Balans VL '!Z19*100),0,B31*3.6/1000000/'E Balans VL '!Z19*100)</f>
        <v>2.375526881721619E-2</v>
      </c>
      <c r="D31" s="233" t="s">
        <v>732</v>
      </c>
    </row>
    <row r="32" spans="1:18">
      <c r="A32" s="168" t="s">
        <v>40</v>
      </c>
      <c r="B32" s="37">
        <f>IF( ISERROR(IND_voed_ele_kWh/1000),0,IND_voed_ele_kWh/1000)</f>
        <v>150.07300000000001</v>
      </c>
      <c r="C32" s="39">
        <f>IF(ISERROR(B32*3.6/1000000/'E Balans VL '!Z20*100),0,B32*3.6/1000000/'E Balans VL '!Z20*100)</f>
        <v>4.6424391638963027E-3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21.516999999999999</v>
      </c>
      <c r="C35" s="39">
        <f>IF(ISERROR(B35*3.6/1000000/'E Balans VL '!Z22*100),0,B35*3.6/1000000/'E Balans VL '!Z22*100)</f>
        <v>3.8702369773315668E-3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9.2680000000000007</v>
      </c>
      <c r="C37" s="39">
        <f>IF(ISERROR(B37*3.6/1000000/'E Balans VL '!Z15*100),0,B37*3.6/1000000/'E Balans VL '!Z15*100)</f>
        <v>7.3460282186500734E-5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2346.962</v>
      </c>
      <c r="C5" s="17">
        <f>'Eigen informatie GS &amp; warmtenet'!B60</f>
        <v>0</v>
      </c>
      <c r="D5" s="30">
        <f>IF(ISERROR(SUM(LB_lb_gas_kWh,LB_rest_gas_kWh)/1000),0,SUM(LB_lb_gas_kWh,LB_rest_gas_kWh)/1000)*0.902</f>
        <v>302.77073200000001</v>
      </c>
      <c r="E5" s="17">
        <f>B17*'E Balans VL '!I25/3.6*1000000/100</f>
        <v>68.984381629341172</v>
      </c>
      <c r="F5" s="17">
        <f>B17*('E Balans VL '!L25/3.6*1000000+'E Balans VL '!N25/3.6*1000000)/100</f>
        <v>9777.3168688301739</v>
      </c>
      <c r="G5" s="18"/>
      <c r="H5" s="17"/>
      <c r="I5" s="17"/>
      <c r="J5" s="17">
        <f>('E Balans VL '!D25+'E Balans VL '!E25)/3.6*1000000*landbouw!B17/100</f>
        <v>340.02439221410873</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2346.962</v>
      </c>
      <c r="C8" s="21">
        <f>C5+C6</f>
        <v>0</v>
      </c>
      <c r="D8" s="21">
        <f>MAX((D5+D6),0)</f>
        <v>302.77073200000001</v>
      </c>
      <c r="E8" s="21">
        <f>MAX((E5+E6),0)</f>
        <v>68.984381629341172</v>
      </c>
      <c r="F8" s="21">
        <f>MAX((F5+F6),0)</f>
        <v>9777.3168688301739</v>
      </c>
      <c r="G8" s="21"/>
      <c r="H8" s="21"/>
      <c r="I8" s="21"/>
      <c r="J8" s="21">
        <f>MAX((J5+J6),0)</f>
        <v>340.02439221410873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0.14080646516390194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330.46742309400162</v>
      </c>
      <c r="C12" s="23">
        <f ca="1">C8*C10</f>
        <v>0</v>
      </c>
      <c r="D12" s="23">
        <f>D8*D10</f>
        <v>61.159687864000006</v>
      </c>
      <c r="E12" s="23">
        <f>E8*E10</f>
        <v>15.659454629860447</v>
      </c>
      <c r="F12" s="23">
        <f>F8*F10</f>
        <v>2610.5436039776564</v>
      </c>
      <c r="G12" s="23"/>
      <c r="H12" s="23"/>
      <c r="I12" s="23"/>
      <c r="J12" s="23">
        <f>J8*J10</f>
        <v>120.36863484379448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0.33304127116871518</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103.47253172054715</v>
      </c>
      <c r="C26" s="243">
        <f>B26*'GWP N2O_CH4'!B5</f>
        <v>2172.9231661314902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57.96390683680994</v>
      </c>
      <c r="C27" s="243">
        <f>B27*'GWP N2O_CH4'!B5</f>
        <v>1217.2420435730087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3.1798400649036727</v>
      </c>
      <c r="C28" s="243">
        <f>B28*'GWP N2O_CH4'!B4</f>
        <v>985.75042012013853</v>
      </c>
      <c r="D28" s="50"/>
    </row>
    <row r="29" spans="1:4">
      <c r="A29" s="41" t="s">
        <v>271</v>
      </c>
      <c r="B29" s="243">
        <f>B34*'ha_N2O bodem landbouw'!B4</f>
        <v>19.587166803908154</v>
      </c>
      <c r="C29" s="243">
        <f>B29*'GWP N2O_CH4'!B4</f>
        <v>6072.0217092115281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4.4697239642721397E-3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9.0415668102142248E-5</v>
      </c>
      <c r="C5" s="431" t="s">
        <v>210</v>
      </c>
      <c r="D5" s="416">
        <f>SUM(D6:D11)</f>
        <v>1.7669303702495616E-4</v>
      </c>
      <c r="E5" s="416">
        <f>SUM(E6:E11)</f>
        <v>3.0214567944173137E-4</v>
      </c>
      <c r="F5" s="429" t="s">
        <v>210</v>
      </c>
      <c r="G5" s="416">
        <f>SUM(G6:G11)</f>
        <v>0.1086519161073433</v>
      </c>
      <c r="H5" s="416">
        <f>SUM(H6:H11)</f>
        <v>2.815814148544284E-2</v>
      </c>
      <c r="I5" s="431" t="s">
        <v>210</v>
      </c>
      <c r="J5" s="431" t="s">
        <v>210</v>
      </c>
      <c r="K5" s="431" t="s">
        <v>210</v>
      </c>
      <c r="L5" s="431" t="s">
        <v>210</v>
      </c>
      <c r="M5" s="416">
        <f>SUM(M6:M11)</f>
        <v>7.1770282944522085E-3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3.5375204263443676E-5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5.9471939071961035E-5</v>
      </c>
      <c r="E6" s="859">
        <f>vkm_GW_PW*SUMIFS(TableVerdeelsleutelVkm[LPG],TableVerdeelsleutelVkm[Voertuigtype],"Lichte voertuigen")*SUMIFS(TableECFTransport[EnergieConsumptieFactor (PJ per km)],TableECFTransport[Index],CONCATENATE($A6,"_LPG_LPG"))</f>
        <v>1.0464138628129976E-4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3.1046796336321264E-2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9.6085007469829658E-3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2.0968049341101441E-3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4.5696519182056536E-7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1.4677913248178678E-2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2.3947876646274373E-7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8.5756506439711407E-4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5.4378854198237846E-5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1.1722109795299513E-4</v>
      </c>
      <c r="E8" s="419">
        <f>vkm_NGW_PW*SUMIFS(TableVerdeelsleutelVkm[LPG],TableVerdeelsleutelVkm[Voertuigtype],"Lichte voertuigen")*SUMIFS(TableECFTransport[EnergieConsumptieFactor (PJ per km)],TableECFTransport[Index],CONCATENATE($A8,"_LPG_LPG"))</f>
        <v>1.9750429316043162E-4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5.4493271881954151E-2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1.854927181021444E-2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3.7299013176926802E-3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2.0464444864016701E-7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8.4339346408892069E-3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1.2944947897209341E-7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4.9275697825227054E-4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25.11546336170618</v>
      </c>
      <c r="C14" s="21"/>
      <c r="D14" s="21">
        <f t="shared" ref="D14:M14" si="0">((D5)*10^9/3600)+D12</f>
        <v>49.081399173598932</v>
      </c>
      <c r="E14" s="21">
        <f t="shared" si="0"/>
        <v>83.929355400480929</v>
      </c>
      <c r="F14" s="21"/>
      <c r="G14" s="21">
        <f t="shared" si="0"/>
        <v>30181.087807595362</v>
      </c>
      <c r="H14" s="21">
        <f t="shared" si="0"/>
        <v>7821.7059681785668</v>
      </c>
      <c r="I14" s="21"/>
      <c r="J14" s="21"/>
      <c r="K14" s="21"/>
      <c r="L14" s="21"/>
      <c r="M14" s="21">
        <f t="shared" si="0"/>
        <v>1993.618970681169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0.14080646516390194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3.5364196169153366</v>
      </c>
      <c r="C18" s="23"/>
      <c r="D18" s="23">
        <f t="shared" ref="D18:M18" si="1">D14*D16</f>
        <v>9.9144426330669848</v>
      </c>
      <c r="E18" s="23">
        <f t="shared" si="1"/>
        <v>19.051963675909171</v>
      </c>
      <c r="F18" s="23"/>
      <c r="G18" s="23">
        <f t="shared" si="1"/>
        <v>8058.3504446279621</v>
      </c>
      <c r="H18" s="23">
        <f t="shared" si="1"/>
        <v>1947.6047860764631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3.8888327801535757E-5</v>
      </c>
      <c r="C50" s="313">
        <f t="shared" ref="C50:P50" si="2">SUM(C51:C52)</f>
        <v>0</v>
      </c>
      <c r="D50" s="313">
        <f t="shared" si="2"/>
        <v>0</v>
      </c>
      <c r="E50" s="313">
        <f t="shared" si="2"/>
        <v>0</v>
      </c>
      <c r="F50" s="313">
        <f t="shared" si="2"/>
        <v>0</v>
      </c>
      <c r="G50" s="313">
        <f t="shared" si="2"/>
        <v>3.6531723954506589E-3</v>
      </c>
      <c r="H50" s="313">
        <f t="shared" si="2"/>
        <v>0</v>
      </c>
      <c r="I50" s="313">
        <f t="shared" si="2"/>
        <v>0</v>
      </c>
      <c r="J50" s="313">
        <f t="shared" si="2"/>
        <v>0</v>
      </c>
      <c r="K50" s="313">
        <f t="shared" si="2"/>
        <v>0</v>
      </c>
      <c r="L50" s="313">
        <f t="shared" si="2"/>
        <v>0</v>
      </c>
      <c r="M50" s="313">
        <f t="shared" si="2"/>
        <v>2.1037522954534048E-4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3.8888327801535757E-5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3.6531723954506589E-3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2.1037522954534048E-4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10.802313278204377</v>
      </c>
      <c r="C54" s="21">
        <f t="shared" ref="C54:P54" si="3">(C50)*10^9/3600</f>
        <v>0</v>
      </c>
      <c r="D54" s="21">
        <f t="shared" si="3"/>
        <v>0</v>
      </c>
      <c r="E54" s="21">
        <f t="shared" si="3"/>
        <v>0</v>
      </c>
      <c r="F54" s="21">
        <f t="shared" si="3"/>
        <v>0</v>
      </c>
      <c r="G54" s="21">
        <f t="shared" si="3"/>
        <v>1014.7701098474053</v>
      </c>
      <c r="H54" s="21">
        <f t="shared" si="3"/>
        <v>0</v>
      </c>
      <c r="I54" s="21">
        <f t="shared" si="3"/>
        <v>0</v>
      </c>
      <c r="J54" s="21">
        <f t="shared" si="3"/>
        <v>0</v>
      </c>
      <c r="K54" s="21">
        <f t="shared" si="3"/>
        <v>0</v>
      </c>
      <c r="L54" s="21">
        <f t="shared" si="3"/>
        <v>0</v>
      </c>
      <c r="M54" s="21">
        <f t="shared" si="3"/>
        <v>58.437563762594571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0.14080646516390194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1.5210355482970399</v>
      </c>
      <c r="C58" s="23">
        <f t="shared" ref="C58:P58" ca="1" si="4">C54*C56</f>
        <v>0</v>
      </c>
      <c r="D58" s="23">
        <f t="shared" si="4"/>
        <v>0</v>
      </c>
      <c r="E58" s="23">
        <f t="shared" si="4"/>
        <v>0</v>
      </c>
      <c r="F58" s="23">
        <f t="shared" si="4"/>
        <v>0</v>
      </c>
      <c r="G58" s="23">
        <f t="shared" si="4"/>
        <v>270.94361932925722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4704.5905979148556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10552.5</v>
      </c>
      <c r="C8" s="538">
        <f>B48</f>
        <v>0</v>
      </c>
      <c r="D8" s="1004"/>
      <c r="E8" s="1004">
        <f>E48</f>
        <v>0</v>
      </c>
      <c r="F8" s="1005"/>
      <c r="G8" s="539"/>
      <c r="H8" s="1004">
        <f>I48</f>
        <v>0</v>
      </c>
      <c r="I8" s="1004">
        <f>G48+F48</f>
        <v>0</v>
      </c>
      <c r="J8" s="1004">
        <f>H48+D48+C48</f>
        <v>12414.705882352942</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15257.090597914856</v>
      </c>
      <c r="C10" s="551">
        <f t="shared" ref="C10:L10" si="0">SUM(C8:C9)</f>
        <v>0</v>
      </c>
      <c r="D10" s="551">
        <f t="shared" si="0"/>
        <v>0</v>
      </c>
      <c r="E10" s="551">
        <f t="shared" si="0"/>
        <v>0</v>
      </c>
      <c r="F10" s="551">
        <f t="shared" si="0"/>
        <v>0</v>
      </c>
      <c r="G10" s="551">
        <f t="shared" si="0"/>
        <v>0</v>
      </c>
      <c r="H10" s="551">
        <f t="shared" si="0"/>
        <v>0</v>
      </c>
      <c r="I10" s="551">
        <f t="shared" si="0"/>
        <v>0</v>
      </c>
      <c r="J10" s="551">
        <f t="shared" si="0"/>
        <v>12414.705882352942</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15075</v>
      </c>
      <c r="C17" s="563">
        <f>B49</f>
        <v>0</v>
      </c>
      <c r="D17" s="564"/>
      <c r="E17" s="564">
        <f>E49</f>
        <v>0</v>
      </c>
      <c r="F17" s="1010"/>
      <c r="G17" s="565"/>
      <c r="H17" s="563">
        <f>I49</f>
        <v>0</v>
      </c>
      <c r="I17" s="564">
        <f>G49+F49</f>
        <v>0</v>
      </c>
      <c r="J17" s="564">
        <f>H49+D49+C49</f>
        <v>17735.294117647063</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15075</v>
      </c>
      <c r="C20" s="550">
        <f>SUM(C17:C19)</f>
        <v>0</v>
      </c>
      <c r="D20" s="550">
        <f t="shared" ref="D20:L20" si="1">SUM(D17:D19)</f>
        <v>0</v>
      </c>
      <c r="E20" s="550">
        <f t="shared" si="1"/>
        <v>0</v>
      </c>
      <c r="F20" s="550">
        <f t="shared" si="1"/>
        <v>0</v>
      </c>
      <c r="G20" s="550">
        <f t="shared" si="1"/>
        <v>0</v>
      </c>
      <c r="H20" s="550">
        <f t="shared" si="1"/>
        <v>0</v>
      </c>
      <c r="I20" s="550">
        <f t="shared" si="1"/>
        <v>0</v>
      </c>
      <c r="J20" s="550">
        <f t="shared" si="1"/>
        <v>17735.294117647063</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24130</v>
      </c>
      <c r="C28" s="764">
        <v>3440</v>
      </c>
      <c r="D28" s="621" t="s">
        <v>902</v>
      </c>
      <c r="E28" s="620" t="s">
        <v>903</v>
      </c>
      <c r="F28" s="620" t="s">
        <v>904</v>
      </c>
      <c r="G28" s="620" t="s">
        <v>905</v>
      </c>
      <c r="H28" s="620" t="s">
        <v>906</v>
      </c>
      <c r="I28" s="620" t="s">
        <v>903</v>
      </c>
      <c r="J28" s="763">
        <v>39744</v>
      </c>
      <c r="K28" s="763">
        <v>39750</v>
      </c>
      <c r="L28" s="620" t="s">
        <v>907</v>
      </c>
      <c r="M28" s="620">
        <v>2345</v>
      </c>
      <c r="N28" s="620">
        <v>10552.5</v>
      </c>
      <c r="O28" s="620">
        <v>15075</v>
      </c>
      <c r="P28" s="620">
        <v>0</v>
      </c>
      <c r="Q28" s="620">
        <v>30150.000000000004</v>
      </c>
      <c r="R28" s="620">
        <v>0</v>
      </c>
      <c r="S28" s="620">
        <v>0</v>
      </c>
      <c r="T28" s="620">
        <v>0</v>
      </c>
      <c r="U28" s="620">
        <v>0</v>
      </c>
      <c r="V28" s="620">
        <v>0</v>
      </c>
      <c r="W28" s="620">
        <v>0</v>
      </c>
      <c r="X28" s="620">
        <v>1600</v>
      </c>
      <c r="Y28" s="620" t="s">
        <v>49</v>
      </c>
      <c r="Z28" s="622" t="s">
        <v>155</v>
      </c>
    </row>
    <row r="29" spans="1:26" s="558" customFormat="1">
      <c r="A29" s="576" t="s">
        <v>274</v>
      </c>
      <c r="B29" s="577"/>
      <c r="C29" s="577"/>
      <c r="D29" s="577"/>
      <c r="E29" s="577"/>
      <c r="F29" s="577"/>
      <c r="G29" s="577"/>
      <c r="H29" s="577"/>
      <c r="I29" s="577"/>
      <c r="J29" s="577"/>
      <c r="K29" s="577"/>
      <c r="L29" s="578"/>
      <c r="M29" s="578">
        <f>SUM(M28:M28)</f>
        <v>2345</v>
      </c>
      <c r="N29" s="578">
        <f>SUM(N28:N28)</f>
        <v>10552.5</v>
      </c>
      <c r="O29" s="578">
        <f>SUM(O28:O28)</f>
        <v>15075</v>
      </c>
      <c r="P29" s="578">
        <f>SUM(P28:P28)</f>
        <v>0</v>
      </c>
      <c r="Q29" s="578">
        <f>SUM(Q28:Q28)</f>
        <v>30150.000000000004</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2345</v>
      </c>
      <c r="N31" s="578">
        <f ca="1">SUMIF($Z$28:AD28,"tertiair",N28:N28)</f>
        <v>10552.5</v>
      </c>
      <c r="O31" s="578">
        <f ca="1">SUMIF($Z$28:AE28,"tertiair",O28:O28)</f>
        <v>15075</v>
      </c>
      <c r="P31" s="578">
        <f ca="1">SUMIF($Z$28:AF28,"tertiair",P28:P28)</f>
        <v>0</v>
      </c>
      <c r="Q31" s="578">
        <f ca="1">SUMIF($Z$28:AG28,"tertiair",Q28:Q28)</f>
        <v>30150.000000000004</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12414.705882352942</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17735.294117647063</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2021-06-29T15:40:06Z</dcterms:modified>
</cp:coreProperties>
</file>