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L6" i="17" s="1"/>
  <c r="S33" i="18"/>
  <c r="R33" i="18"/>
  <c r="Q33" i="18"/>
  <c r="P33" i="18"/>
  <c r="O33" i="18"/>
  <c r="C6" i="17" s="1"/>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6" i="18"/>
  <c r="I9"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<sst xmlns="http://schemas.openxmlformats.org/spreadsheetml/2006/main" count="2492" uniqueCount="911">
  <si>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</si>
  <si>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</si>
  <si>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</si>
  <si>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</si>
  <si>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</si>
  <si>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</si>
  <si>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</si>
  <si>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</si>
  <si>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</si>
  <si>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</si>
  <si>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</si>
  <si>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</si>
  <si>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</si>
  <si>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</si>
  <si>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</si>
  <si>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</si>
  <si>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</si>
  <si>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</si>
  <si>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</si>
  <si>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</si>
  <si>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</si>
  <si>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</si>
  <si>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</si>
  <si>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</si>
  <si>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</si>
  <si>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</si>
  <si>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</si>
  <si>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</si>
  <si>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</si>
  <si>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</si>
  <si>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</si>
  <si>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</si>
  <si>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</si>
  <si>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</si>
  <si>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</si>
  <si>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</si>
  <si>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</si>
  <si>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</si>
  <si>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</si>
  <si>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</si>
  <si>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</si>
  <si>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</si>
  <si>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</si>
  <si>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</si>
  <si>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</si>
  <si>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</si>
  <si>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</si>
  <si>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</si>
  <si>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</si>
  <si>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</si>
  <si>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</si>
  <si>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</si>
  <si>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</si>
  <si>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</si>
  <si>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</si>
  <si>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</si>
  <si>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</si>
  <si>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</si>
  <si>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</si>
  <si>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</si>
  <si>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</si>
  <si>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</si>
  <si>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</si>
  <si>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</si>
  <si>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</si>
  <si>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</si>
  <si>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</si>
  <si>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</si>
  <si>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</si>
  <si>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</si>
  <si>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</si>
  <si>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</si>
  <si>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</si>
  <si>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</si>
  <si>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</si>
  <si>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</si>
  <si>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</si>
  <si>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</si>
  <si>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</si>
  <si>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</si>
  <si>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</si>
  <si>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</si>
  <si>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</si>
  <si>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</si>
  <si>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</si>
  <si>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</si>
  <si>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</si>
  <si>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</si>
  <si>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</si>
  <si>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</si>
  <si>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</si>
  <si>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</si>
  <si>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</si>
  <si>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</si>
  <si>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</si>
  <si>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</si>
  <si>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</si>
  <si>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</si>
  <si>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</si>
  <si>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</si>
  <si>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</si>
  <si>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</si>
  <si>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</si>
  <si>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</si>
  <si>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</si>
  <si>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</si>
  <si>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</si>
  <si>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</si>
  <si>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</si>
  <si>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</si>
  <si>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</si>
  <si>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</si>
  <si>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</si>
  <si>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</si>
  <si>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</si>
  <si>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</si>
  <si>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</si>
  <si>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</si>
  <si>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</si>
  <si>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</si>
  <si>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</si>
  <si>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</si>
  <si>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</si>
  <si>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</si>
  <si>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</si>
  <si>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</si>
  <si>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</si>
  <si>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</si>
  <si>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</si>
  <si>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</si>
  <si>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</si>
  <si>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</si>
  <si>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</si>
  <si>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</si>
  <si>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</si>
  <si>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</si>
  <si>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</si>
  <si>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</si>
  <si>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</si>
  <si>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</si>
  <si>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</si>
  <si>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</si>
  <si>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</si>
  <si>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</si>
  <si>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</si>
  <si>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</si>
  <si>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</si>
  <si>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</si>
  <si>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</si>
  <si>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</si>
  <si>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</si>
  <si>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</si>
  <si>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</si>
  <si>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</si>
  <si>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</si>
  <si>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</si>
  <si>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</si>
  <si>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</si>
  <si>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</si>
  <si>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</si>
  <si>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</si>
  <si>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</si>
  <si>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</si>
  <si>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</si>
  <si>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</si>
  <si>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</si>
  <si>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</si>
  <si>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</si>
  <si>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</si>
  <si>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</si>
  <si>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</si>
  <si>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</si>
  <si>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</si>
  <si>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</si>
  <si>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</si>
  <si>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</si>
  <si>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</si>
  <si>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</si>
  <si>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</si>
  <si>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</si>
  <si>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</si>
  <si>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</si>
  <si>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</si>
  <si>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</si>
  <si>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</si>
  <si>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</si>
  <si>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</si>
  <si>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</si>
  <si>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</si>
  <si>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</si>
  <si>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</si>
  <si>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</si>
  <si>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</si>
  <si>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</si>
  <si>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</si>
  <si>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</si>
  <si>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</si>
  <si>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</si>
  <si>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</si>
  <si>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</si>
  <si>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</si>
  <si>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</si>
  <si>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</si>
  <si>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</si>
  <si>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</si>
  <si>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</si>
  <si>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</si>
  <si>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</si>
  <si>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</si>
  <si>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</si>
  <si>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</si>
  <si>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</si>
  <si>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</si>
  <si>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</si>
  <si>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</si>
  <si>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</si>
  <si>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</si>
  <si>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</si>
  <si>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</si>
  <si>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</si>
  <si>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</si>
  <si>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</si>
  <si>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</si>
  <si>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</si>
  <si>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</si>
  <si>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</si>
  <si>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</si>
  <si>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</si>
  <si>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</si>
  <si>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</si>
  <si>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</si>
  <si>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</si>
  <si>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</si>
  <si>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</si>
  <si>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</si>
  <si>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</si>
  <si>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</si>
  <si>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</si>
  <si>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</si>
  <si>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</si>
  <si>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</si>
  <si>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</si>
  <si>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</si>
  <si>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</si>
  <si>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</si>
  <si>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</si>
  <si>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</si>
  <si>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</si>
  <si>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</si>
  <si>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</si>
  <si>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</si>
  <si>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</si>
  <si>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</si>
  <si>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</si>
  <si>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</si>
  <si>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</si>
  <si>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</si>
  <si>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</si>
  <si>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</si>
  <si>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</si>
  <si>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</si>
  <si>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</si>
  <si>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</si>
  <si>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</si>
  <si>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</si>
  <si>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</si>
  <si>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</si>
  <si>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</si>
  <si>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</si>
  <si>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</si>
  <si>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</si>
  <si>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</si>
  <si>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</si>
  <si>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</si>
  <si>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</si>
  <si>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</si>
  <si>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</si>
  <si>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</si>
  <si>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</si>
  <si>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</si>
  <si>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</si>
  <si>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</si>
  <si>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</si>
  <si>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</si>
  <si>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</si>
  <si>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</si>
  <si>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</si>
  <si>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</si>
  <si>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</si>
  <si>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</si>
  <si>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</si>
  <si>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</si>
  <si>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</si>
  <si>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</si>
  <si>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</si>
  <si>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</si>
  <si>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</si>
  <si>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</si>
  <si>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</si>
  <si>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</si>
  <si>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</si>
  <si>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</si>
  <si>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</si>
  <si>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</si>
  <si>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</si>
  <si>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</si>
  <si>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</si>
  <si>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</si>
  <si>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</si>
  <si>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</si>
  <si>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</si>
  <si>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</si>
  <si>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</si>
  <si>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</si>
  <si>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</si>
  <si>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</si>
  <si>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</si>
  <si>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</si>
  <si>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</si>
  <si>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</si>
  <si>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</si>
  <si>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</si>
  <si>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</si>
  <si>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</si>
  <si>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</si>
  <si>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</si>
  <si>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</si>
  <si>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</si>
  <si>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</si>
  <si>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</si>
  <si>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</si>
  <si>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</si>
  <si>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</si>
  <si>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</si>
  <si>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</si>
  <si>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</si>
  <si>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</si>
  <si>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</si>
  <si>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</si>
  <si>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</si>
  <si>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</si>
  <si>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</si>
  <si>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</si>
  <si>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</si>
  <si>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</si>
  <si>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</si>
  <si>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</si>
  <si>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</si>
  <si>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</si>
  <si>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</si>
  <si>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</si>
  <si>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</si>
  <si>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</si>
  <si>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</si>
  <si>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</si>
  <si>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</si>
  <si>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</si>
  <si>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</si>
  <si>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</si>
  <si>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</si>
  <si>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</si>
  <si>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</si>
  <si>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</si>
  <si>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</si>
  <si>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</si>
  <si>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</si>
  <si>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</si>
  <si>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</si>
  <si>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</si>
  <si>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</si>
  <si>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</si>
  <si>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</si>
  <si>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</si>
  <si>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</si>
  <si>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</si>
  <si>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</si>
  <si>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</si>
  <si>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</si>
  <si>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</si>
  <si>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</si>
  <si>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</si>
  <si>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</si>
  <si>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</si>
  <si>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</si>
  <si>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</si>
  <si>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</si>
  <si>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</si>
  <si>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</si>
  <si>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</si>
  <si>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</si>
  <si>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</si>
  <si>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</si>
  <si>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</si>
  <si>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</si>
  <si>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</si>
  <si>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</si>
  <si>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</si>
  <si>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</si>
  <si>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</si>
  <si>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</si>
  <si>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</si>
  <si>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</si>
  <si>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</si>
  <si>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</si>
  <si>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</si>
  <si>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</si>
  <si>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</si>
  <si>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</si>
  <si>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</si>
  <si>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</si>
  <si>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</si>
  <si>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</si>
  <si>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</si>
  <si>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</si>
  <si>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</si>
  <si>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</si>
  <si>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</si>
  <si>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</si>
  <si>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</si>
  <si>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</si>
  <si>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</si>
  <si>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</si>
  <si>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</si>
  <si>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</si>
  <si>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</si>
  <si>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</si>
  <si>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</si>
  <si>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</si>
  <si>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</si>
  <si>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</si>
  <si>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</si>
  <si>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</si>
  <si>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</si>
  <si>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</si>
  <si>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</si>
  <si>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</si>
  <si>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</si>
  <si>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</si>
  <si>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</si>
  <si>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</si>
  <si>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</si>
  <si>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</si>
  <si>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</si>
  <si>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</si>
  <si>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</si>
  <si>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</si>
  <si>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</si>
  <si>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</si>
  <si>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</si>
  <si>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</si>
  <si>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</si>
  <si>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</si>
  <si>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</si>
  <si>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</si>
  <si>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</si>
  <si>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</si>
  <si>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</si>
  <si>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</si>
  <si>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</si>
  <si>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</si>
  <si>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</si>
  <si>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</si>
  <si>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</si>
  <si>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</si>
  <si>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</si>
  <si>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</si>
  <si>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</si>
  <si>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</si>
  <si>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</si>
  <si>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</si>
  <si>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</si>
  <si>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</si>
  <si>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</si>
  <si>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</si>
  <si>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</si>
  <si>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</si>
  <si>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</si>
  <si>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</si>
  <si>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</si>
  <si>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</si>
  <si>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</si>
  <si>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</si>
  <si>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</si>
  <si>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</si>
  <si>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</si>
  <si>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</si>
  <si>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</si>
  <si>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</si>
  <si>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</si>
  <si>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</si>
  <si>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</si>
  <si>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</si>
  <si>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</si>
  <si>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</si>
  <si>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</si>
  <si>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</si>
  <si>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</si>
  <si>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</si>
  <si>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</si>
  <si>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</si>
  <si>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</si>
  <si>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</si>
  <si>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</si>
  <si>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</si>
  <si>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</si>
  <si>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</si>
  <si>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</si>
  <si>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</si>
  <si>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</si>
  <si>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</si>
  <si>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</si>
  <si>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</si>
  <si>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</si>
  <si>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</si>
  <si>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</si>
  <si>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</si>
  <si>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</si>
  <si>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</si>
  <si>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</si>
  <si>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</si>
  <si>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</si>
  <si>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</si>
  <si>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</si>
  <si>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</si>
  <si>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</si>
  <si>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</si>
  <si>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</si>
  <si>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</si>
  <si>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</si>
  <si>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</si>
  <si>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</si>
  <si>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</si>
  <si>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</si>
  <si>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</si>
  <si>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</si>
  <si>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</si>
  <si>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</si>
  <si>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</si>
  <si>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</si>
  <si>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</si>
  <si>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</si>
  <si>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</si>
  <si>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</si>
  <si>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</si>
  <si>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</si>
  <si>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</si>
  <si>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</si>
  <si>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</si>
  <si>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</si>
  <si>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</si>
  <si>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</si>
  <si>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</si>
  <si>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</si>
  <si>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</si>
  <si>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</si>
  <si>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</si>
  <si>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</si>
  <si>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</si>
  <si>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</si>
  <si>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</si>
  <si>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</si>
  <si>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</si>
  <si>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</si>
  <si>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</si>
  <si>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</si>
  <si>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</si>
  <si>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</si>
  <si>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</si>
  <si>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</si>
  <si>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</si>
  <si>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</si>
  <si>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</si>
  <si>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</si>
  <si>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</si>
  <si>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</si>
  <si>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</si>
  <si>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</si>
  <si>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</si>
  <si>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</si>
  <si>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</si>
  <si>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</si>
  <si>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</si>
  <si>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</si>
  <si>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</si>
  <si>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</si>
  <si>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</si>
  <si>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</si>
  <si>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</si>
  <si>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</si>
  <si>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</si>
  <si>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</si>
  <si>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</si>
  <si>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</si>
  <si>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</si>
  <si>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</si>
  <si>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</si>
  <si>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</si>
  <si>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</si>
  <si>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</si>
  <si>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</si>
  <si>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</si>
  <si>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</si>
  <si>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</si>
  <si>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</si>
  <si>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</si>
  <si>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</si>
  <si>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</si>
  <si>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</si>
  <si>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</si>
  <si>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</si>
  <si>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</si>
  <si>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</si>
  <si>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</si>
  <si>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</si>
  <si>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</si>
  <si>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</si>
  <si>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</si>
  <si>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</si>
  <si>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</si>
  <si>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</si>
  <si>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</si>
  <si>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</si>
  <si>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</si>
  <si>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</si>
  <si>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</si>
  <si>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</si>
  <si>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</si>
  <si>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</si>
  <si>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</si>
  <si>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</si>
  <si>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</si>
  <si>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</si>
  <si>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</si>
  <si>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</si>
  <si>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</si>
  <si>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</si>
  <si>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</si>
  <si>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</si>
  <si>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</si>
  <si>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</si>
  <si>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</si>
  <si>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</si>
  <si>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</si>
  <si>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</si>
  <si>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</si>
  <si>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</si>
  <si>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</si>
  <si>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</si>
  <si>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</si>
  <si>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</si>
  <si>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</si>
  <si>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</si>
  <si>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</si>
  <si>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</si>
  <si>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</si>
  <si>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</si>
  <si>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</si>
  <si>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</si>
  <si>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</si>
  <si>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</si>
  <si>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</si>
  <si>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</si>
  <si>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</si>
  <si>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</si>
  <si>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</si>
  <si>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</si>
  <si>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</si>
  <si>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</si>
  <si>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</si>
  <si>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</si>
  <si>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</si>
  <si>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</si>
  <si>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</si>
  <si>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</si>
  <si>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</si>
  <si>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</si>
  <si>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</si>
  <si>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</si>
  <si>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</si>
  <si>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</si>
  <si>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</si>
  <si>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</si>
  <si>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</si>
  <si>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</si>
  <si>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</si>
  <si>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</si>
  <si>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</si>
  <si>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</si>
  <si>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</si>
  <si>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</si>
  <si>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</si>
  <si>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</si>
  <si>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</si>
  <si>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</si>
  <si>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</si>
  <si>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</si>
  <si>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</si>
  <si>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</si>
  <si>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</si>
  <si>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</si>
  <si>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</si>
  <si>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</si>
  <si>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</si>
  <si>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</si>
  <si>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</si>
  <si>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</si>
  <si>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</si>
  <si>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</si>
  <si>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</si>
  <si>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</si>
  <si>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</si>
  <si>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</si>
  <si>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</si>
  <si>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</si>
  <si>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</si>
  <si>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</si>
  <si>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</si>
  <si>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</si>
  <si>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</si>
  <si>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</si>
  <si>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</si>
  <si>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</si>
  <si>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</si>
  <si>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</si>
  <si>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</si>
  <si>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</si>
  <si>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</si>
  <si>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</si>
  <si>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</si>
  <si>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</si>
  <si>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</si>
  <si>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</si>
  <si>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</si>
  <si>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</si>
  <si>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</si>
  <si>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</si>
  <si>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</si>
  <si>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</si>
  <si>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</si>
  <si>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</si>
  <si>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</si>
  <si>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</si>
  <si>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</si>
  <si>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</si>
  <si>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</si>
  <si>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</si>
  <si>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</si>
  <si>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</si>
  <si>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</si>
  <si>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</si>
  <si>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</si>
  <si>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</si>
  <si>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</si>
  <si>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</si>
  <si>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</si>
  <si>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</si>
  <si>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</si>
  <si>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</si>
  <si>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</si>
  <si>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</si>
  <si>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</si>
  <si>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</si>
  <si>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</si>
  <si>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</si>
  <si>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</si>
  <si>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</si>
  <si>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</si>
  <si>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</si>
  <si>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</si>
  <si>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</si>
  <si>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</si>
  <si>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</si>
  <si>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</si>
  <si>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</si>
  <si>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</si>
  <si>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</si>
  <si>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</si>
  <si>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</si>
  <si>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</si>
  <si>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</si>
  <si>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</si>
  <si>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</si>
  <si>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</si>
  <si>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</si>
  <si>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</si>
  <si>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</si>
  <si>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</si>
  <si>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</si>
  <si>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</si>
  <si>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</si>
  <si>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</si>
  <si>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</si>
  <si>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</si>
  <si>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</si>
  <si>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</si>
  <si>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</si>
  <si>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</si>
  <si>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</si>
  <si>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</si>
  <si>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</si>
  <si>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</si>
  <si>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</si>
  <si>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</si>
  <si>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</si>
  <si>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</si>
  <si>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</si>
  <si>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</si>
  <si>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</si>
  <si>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</si>
  <si>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</si>
  <si>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</si>
  <si>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</si>
  <si>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</si>
  <si>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</si>
  <si>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</si>
  <si>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</si>
  <si>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</si>
  <si>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</si>
  <si>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</si>
  <si>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</si>
  <si>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</si>
  <si>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</si>
  <si>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</si>
  <si>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</si>
  <si>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</si>
  <si>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</si>
  <si>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</si>
  <si>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</si>
  <si>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</si>
  <si>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</si>
  <si>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</si>
  <si>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</si>
  <si>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</si>
  <si>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</si>
  <si>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</si>
  <si>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</si>
  <si>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</si>
  <si>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</si>
  <si>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</si>
  <si>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</si>
  <si>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</si>
  <si>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</si>
  <si>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</si>
  <si>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</si>
  <si>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</si>
  <si>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</si>
  <si>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</si>
  <si>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</si>
  <si>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</si>
  <si>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</si>
  <si>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</si>
  <si>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</si>
  <si>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</si>
  <si>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</si>
  <si>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</si>
  <si>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</si>
  <si>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</si>
  <si>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</si>
  <si>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</si>
  <si>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</si>
  <si>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</si>
  <si>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</si>
  <si>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</si>
  <si>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</si>
  <si>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</si>
  <si>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</si>
  <si>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</si>
  <si>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</si>
  <si>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</si>
  <si>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</si>
  <si>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</si>
  <si>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</si>
  <si>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</si>
  <si>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</si>
  <si>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</si>
  <si>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</si>
  <si>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</si>
  <si>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</si>
  <si>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</si>
  <si>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</si>
  <si>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</si>
  <si>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</si>
  <si>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</si>
  <si>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</si>
  <si>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</si>
  <si>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</si>
  <si>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</si>
  <si>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</si>
  <si>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</si>
  <si>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</si>
  <si>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</si>
  <si>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</si>
  <si>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</si>
  <si>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</si>
  <si>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</si>
  <si>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</si>
  <si>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</si>
  <si>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</si>
  <si>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24094</t>
  </si>
  <si>
    <t>ROTSELAAR</t>
  </si>
  <si>
    <t>Fluvius</t>
  </si>
  <si>
    <t>referentietaak LNE (2017); Jaarverslag De Lijn</t>
  </si>
  <si>
    <t>Ward Janssen</t>
  </si>
  <si>
    <t>Guldentop 23, 3118 Werchter</t>
  </si>
  <si>
    <t>WKK-0038 Ward Janssen</t>
  </si>
  <si>
    <t>interne verbrandingsmotor</t>
  </si>
  <si>
    <t>WKK interne verbrandinsgmotor (vloeibaar)</t>
  </si>
  <si>
    <t>IVERLEK</t>
  </si>
  <si>
    <t>WKK-0730 Armonea</t>
  </si>
  <si>
    <t>WKK interne verbrandinsgmotor (gas)</t>
  </si>
  <si>
    <t>Aarschotsesteenweg 146 , 3111 Wezemaal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</si>
</sst>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143872.40325851314</c:v>
                </c:pt>
                <c:pt idx="1">
                  <c:v>34656.099784310201</c:v>
                </c:pt>
                <c:pt idx="2">
                  <c:v>699.43100000000004</c:v>
                </c:pt>
                <c:pt idx="3">
                  <c:v>3459.4938948817712</c:v>
                </c:pt>
                <c:pt idx="4">
                  <c:v>99956.061235171815</c:v>
                </c:pt>
                <c:pt idx="5">
                  <c:v>173065.10564675558</c:v>
                </c:pt>
                <c:pt idx="6">
                  <c:v>1696.2464268637286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143872.40325851314</c:v>
                </c:pt>
                <c:pt idx="1">
                  <c:v>34656.099784310201</c:v>
                </c:pt>
                <c:pt idx="2">
                  <c:v>699.43100000000004</c:v>
                </c:pt>
                <c:pt idx="3">
                  <c:v>3459.4938948817712</c:v>
                </c:pt>
                <c:pt idx="4">
                  <c:v>99956.061235171815</c:v>
                </c:pt>
                <c:pt idx="5">
                  <c:v>173065.10564675558</c:v>
                </c:pt>
                <c:pt idx="6">
                  <c:v>1696.2464268637286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30296.139214951585</c:v>
                </c:pt>
                <c:pt idx="2">
                  <c:v>6801.0594870145187</c:v>
                </c:pt>
                <c:pt idx="3">
                  <c:v>146.20583056195633</c:v>
                </c:pt>
                <c:pt idx="4">
                  <c:v>886.5695225426108</c:v>
                </c:pt>
                <c:pt idx="5">
                  <c:v>20609.0597937981</c:v>
                </c:pt>
                <c:pt idx="6">
                  <c:v>43323.240695015389</c:v>
                </c:pt>
                <c:pt idx="7">
                  <c:v>427.50287149780161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30296.139214951585</c:v>
                </c:pt>
                <c:pt idx="2">
                  <c:v>6801.0594870145187</c:v>
                </c:pt>
                <c:pt idx="3">
                  <c:v>146.20583056195633</c:v>
                </c:pt>
                <c:pt idx="4">
                  <c:v>886.5695225426108</c:v>
                </c:pt>
                <c:pt idx="5">
                  <c:v>20609.0597937981</c:v>
                </c:pt>
                <c:pt idx="6">
                  <c:v>43323.240695015389</c:v>
                </c:pt>
                <c:pt idx="7">
                  <c:v>427.50287149780161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24094</v>
      </c>
      <c r="B6" s="384"/>
      <c r="C6" s="385"/>
    </row>
    <row r="7" spans="1:7" s="382" customFormat="1" ht="15.75" customHeight="1">
      <c r="A7" s="386" t="str">
        <f>txtMunicipality</f>
        <v>ROTSELAAR</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15695.230827329658</v>
      </c>
      <c r="D10" s="973">
        <f ca="1">tertiair!C16</f>
        <v>256.33928571428572</v>
      </c>
      <c r="E10" s="973">
        <f ca="1">tertiair!D16</f>
        <v>14204.961589626631</v>
      </c>
      <c r="F10" s="973">
        <f>tertiair!E16</f>
        <v>172.75076522714608</v>
      </c>
      <c r="G10" s="973">
        <f ca="1">tertiair!F16</f>
        <v>2658.9187769111631</v>
      </c>
      <c r="H10" s="973">
        <f>tertiair!G16</f>
        <v>0</v>
      </c>
      <c r="I10" s="973">
        <f>tertiair!H16</f>
        <v>0</v>
      </c>
      <c r="J10" s="973">
        <f>tertiair!I16</f>
        <v>0</v>
      </c>
      <c r="K10" s="973">
        <f>tertiair!J16</f>
        <v>5.9338356549098623E-2</v>
      </c>
      <c r="L10" s="973">
        <f>tertiair!K16</f>
        <v>0</v>
      </c>
      <c r="M10" s="973">
        <f ca="1">tertiair!L16</f>
        <v>0</v>
      </c>
      <c r="N10" s="973">
        <f>tertiair!M16</f>
        <v>0</v>
      </c>
      <c r="O10" s="973">
        <f ca="1">tertiair!N16</f>
        <v>2346.6402011447708</v>
      </c>
      <c r="P10" s="973">
        <f>tertiair!O16</f>
        <v>1.5633333333333335</v>
      </c>
      <c r="Q10" s="974">
        <f>tertiair!P16</f>
        <v>19.066666666666666</v>
      </c>
      <c r="R10" s="668">
        <f ca="1">SUM(C10:Q10)</f>
        <v>35355.530784310198</v>
      </c>
      <c r="S10" s="67"/>
    </row>
    <row r="11" spans="1:19" s="441" customFormat="1">
      <c r="A11" s="777" t="s">
        <v>219</v>
      </c>
      <c r="B11" s="782"/>
      <c r="C11" s="973">
        <f>huishoudens!B8</f>
        <v>29895.747232742091</v>
      </c>
      <c r="D11" s="973">
        <f>huishoudens!C8</f>
        <v>0</v>
      </c>
      <c r="E11" s="973">
        <f>huishoudens!D8</f>
        <v>46052.337050503593</v>
      </c>
      <c r="F11" s="973">
        <f>huishoudens!E8</f>
        <v>2095.9265329583995</v>
      </c>
      <c r="G11" s="973">
        <f>huishoudens!F8</f>
        <v>53101.383314600345</v>
      </c>
      <c r="H11" s="973">
        <f>huishoudens!G8</f>
        <v>0</v>
      </c>
      <c r="I11" s="973">
        <f>huishoudens!H8</f>
        <v>0</v>
      </c>
      <c r="J11" s="973">
        <f>huishoudens!I8</f>
        <v>0</v>
      </c>
      <c r="K11" s="973">
        <f>huishoudens!J8</f>
        <v>255.51789900180427</v>
      </c>
      <c r="L11" s="973">
        <f>huishoudens!K8</f>
        <v>0</v>
      </c>
      <c r="M11" s="973">
        <f>huishoudens!L8</f>
        <v>0</v>
      </c>
      <c r="N11" s="973">
        <f>huishoudens!M8</f>
        <v>0</v>
      </c>
      <c r="O11" s="973">
        <f>huishoudens!N8</f>
        <v>10054.901228706874</v>
      </c>
      <c r="P11" s="973">
        <f>huishoudens!O8</f>
        <v>395.52333333333337</v>
      </c>
      <c r="Q11" s="974">
        <f>huishoudens!P8</f>
        <v>2021.0666666666666</v>
      </c>
      <c r="R11" s="668">
        <f>SUM(C11:Q11)</f>
        <v>143872.40325851314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45816.433057946255</v>
      </c>
      <c r="D13" s="973">
        <f>industrie!C18</f>
        <v>0</v>
      </c>
      <c r="E13" s="973">
        <f>industrie!D18</f>
        <v>37805.315810252869</v>
      </c>
      <c r="F13" s="973">
        <f>industrie!E18</f>
        <v>2906.0896691857711</v>
      </c>
      <c r="G13" s="973">
        <f>industrie!F18</f>
        <v>10035.548438927539</v>
      </c>
      <c r="H13" s="973">
        <f>industrie!G18</f>
        <v>0</v>
      </c>
      <c r="I13" s="973">
        <f>industrie!H18</f>
        <v>0</v>
      </c>
      <c r="J13" s="973">
        <f>industrie!I18</f>
        <v>0</v>
      </c>
      <c r="K13" s="973">
        <f>industrie!J18</f>
        <v>158.06877000750001</v>
      </c>
      <c r="L13" s="973">
        <f>industrie!K18</f>
        <v>0</v>
      </c>
      <c r="M13" s="973">
        <f>industrie!L18</f>
        <v>0</v>
      </c>
      <c r="N13" s="973">
        <f>industrie!M18</f>
        <v>0</v>
      </c>
      <c r="O13" s="973">
        <f>industrie!N18</f>
        <v>3234.6054888518634</v>
      </c>
      <c r="P13" s="973">
        <f>industrie!O18</f>
        <v>0</v>
      </c>
      <c r="Q13" s="974">
        <f>industrie!P18</f>
        <v>0</v>
      </c>
      <c r="R13" s="668">
        <f>SUM(C13:Q13)</f>
        <v>99956.061235171815</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91407.411118018004</v>
      </c>
      <c r="D16" s="700">
        <f t="shared" ref="D16:R16" ca="1" si="0">SUM(D9:D15)</f>
        <v>256.33928571428572</v>
      </c>
      <c r="E16" s="700">
        <f t="shared" ca="1" si="0"/>
        <v>98062.614450383087</v>
      </c>
      <c r="F16" s="700">
        <f t="shared" si="0"/>
        <v>5174.7669673713172</v>
      </c>
      <c r="G16" s="700">
        <f t="shared" ca="1" si="0"/>
        <v>65795.850530439042</v>
      </c>
      <c r="H16" s="700">
        <f t="shared" si="0"/>
        <v>0</v>
      </c>
      <c r="I16" s="700">
        <f t="shared" si="0"/>
        <v>0</v>
      </c>
      <c r="J16" s="700">
        <f t="shared" si="0"/>
        <v>0</v>
      </c>
      <c r="K16" s="700">
        <f t="shared" si="0"/>
        <v>413.64600736585339</v>
      </c>
      <c r="L16" s="700">
        <f t="shared" si="0"/>
        <v>0</v>
      </c>
      <c r="M16" s="700">
        <f t="shared" ca="1" si="0"/>
        <v>0</v>
      </c>
      <c r="N16" s="700">
        <f t="shared" si="0"/>
        <v>0</v>
      </c>
      <c r="O16" s="700">
        <f t="shared" ca="1" si="0"/>
        <v>15636.146918703507</v>
      </c>
      <c r="P16" s="700">
        <f t="shared" si="0"/>
        <v>397.0866666666667</v>
      </c>
      <c r="Q16" s="700">
        <f t="shared" si="0"/>
        <v>2040.1333333333332</v>
      </c>
      <c r="R16" s="700">
        <f t="shared" ca="1" si="0"/>
        <v>279183.99527799513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16.903336243807601</v>
      </c>
      <c r="D19" s="973">
        <f>transport!C54</f>
        <v>0</v>
      </c>
      <c r="E19" s="973">
        <f>transport!D54</f>
        <v>0</v>
      </c>
      <c r="F19" s="973">
        <f>transport!E54</f>
        <v>0</v>
      </c>
      <c r="G19" s="973">
        <f>transport!F54</f>
        <v>0</v>
      </c>
      <c r="H19" s="973">
        <f>transport!G54</f>
        <v>1587.9006593453969</v>
      </c>
      <c r="I19" s="973">
        <f>transport!H54</f>
        <v>0</v>
      </c>
      <c r="J19" s="973">
        <f>transport!I54</f>
        <v>0</v>
      </c>
      <c r="K19" s="973">
        <f>transport!J54</f>
        <v>0</v>
      </c>
      <c r="L19" s="973">
        <f>transport!K54</f>
        <v>0</v>
      </c>
      <c r="M19" s="973">
        <f>transport!L54</f>
        <v>0</v>
      </c>
      <c r="N19" s="973">
        <f>transport!M54</f>
        <v>91.442431274524097</v>
      </c>
      <c r="O19" s="973">
        <f>transport!N54</f>
        <v>0</v>
      </c>
      <c r="P19" s="973">
        <f>transport!O54</f>
        <v>0</v>
      </c>
      <c r="Q19" s="974">
        <f>transport!P54</f>
        <v>0</v>
      </c>
      <c r="R19" s="668">
        <f>SUM(C19:Q19)</f>
        <v>1696.2464268637286</v>
      </c>
      <c r="S19" s="67"/>
    </row>
    <row r="20" spans="1:19" s="441" customFormat="1">
      <c r="A20" s="777" t="s">
        <v>301</v>
      </c>
      <c r="B20" s="782"/>
      <c r="C20" s="973">
        <f>transport!B14</f>
        <v>113.30137149144042</v>
      </c>
      <c r="D20" s="973">
        <f>transport!C14</f>
        <v>0</v>
      </c>
      <c r="E20" s="973">
        <f>transport!D14</f>
        <v>178.08874955216658</v>
      </c>
      <c r="F20" s="973">
        <f>transport!E14</f>
        <v>339.65894884149094</v>
      </c>
      <c r="G20" s="973">
        <f>transport!F14</f>
        <v>0</v>
      </c>
      <c r="H20" s="973">
        <f>transport!G14</f>
        <v>134524.30500905824</v>
      </c>
      <c r="I20" s="973">
        <f>transport!H14</f>
        <v>29190.725914191986</v>
      </c>
      <c r="J20" s="973">
        <f>transport!I14</f>
        <v>0</v>
      </c>
      <c r="K20" s="973">
        <f>transport!J14</f>
        <v>0</v>
      </c>
      <c r="L20" s="973">
        <f>transport!K14</f>
        <v>0</v>
      </c>
      <c r="M20" s="973">
        <f>transport!L14</f>
        <v>0</v>
      </c>
      <c r="N20" s="973">
        <f>transport!M14</f>
        <v>8719.0256536202451</v>
      </c>
      <c r="O20" s="973">
        <f>transport!N14</f>
        <v>0</v>
      </c>
      <c r="P20" s="973">
        <f>transport!O14</f>
        <v>0</v>
      </c>
      <c r="Q20" s="974">
        <f>transport!P14</f>
        <v>0</v>
      </c>
      <c r="R20" s="668">
        <f>SUM(C20:Q20)</f>
        <v>173065.10564675558</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130.20470773524801</v>
      </c>
      <c r="D22" s="780">
        <f t="shared" ref="D22:R22" si="1">SUM(D18:D21)</f>
        <v>0</v>
      </c>
      <c r="E22" s="780">
        <f t="shared" si="1"/>
        <v>178.08874955216658</v>
      </c>
      <c r="F22" s="780">
        <f t="shared" si="1"/>
        <v>339.65894884149094</v>
      </c>
      <c r="G22" s="780">
        <f t="shared" si="1"/>
        <v>0</v>
      </c>
      <c r="H22" s="780">
        <f t="shared" si="1"/>
        <v>136112.20566840365</v>
      </c>
      <c r="I22" s="780">
        <f t="shared" si="1"/>
        <v>29190.725914191986</v>
      </c>
      <c r="J22" s="780">
        <f t="shared" si="1"/>
        <v>0</v>
      </c>
      <c r="K22" s="780">
        <f t="shared" si="1"/>
        <v>0</v>
      </c>
      <c r="L22" s="780">
        <f t="shared" si="1"/>
        <v>0</v>
      </c>
      <c r="M22" s="780">
        <f t="shared" si="1"/>
        <v>0</v>
      </c>
      <c r="N22" s="780">
        <f t="shared" si="1"/>
        <v>8810.4680848947683</v>
      </c>
      <c r="O22" s="780">
        <f t="shared" si="1"/>
        <v>0</v>
      </c>
      <c r="P22" s="780">
        <f t="shared" si="1"/>
        <v>0</v>
      </c>
      <c r="Q22" s="780">
        <f t="shared" si="1"/>
        <v>0</v>
      </c>
      <c r="R22" s="780">
        <f t="shared" si="1"/>
        <v>174761.35207361932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624.63522682895996</v>
      </c>
      <c r="D24" s="973">
        <f>+landbouw!C8</f>
        <v>0</v>
      </c>
      <c r="E24" s="973">
        <f>+landbouw!D8</f>
        <v>123.80589925421494</v>
      </c>
      <c r="F24" s="973">
        <f>+landbouw!E8</f>
        <v>18.359937172693492</v>
      </c>
      <c r="G24" s="973">
        <f>+landbouw!F8</f>
        <v>2602.1966014534332</v>
      </c>
      <c r="H24" s="973">
        <f>+landbouw!G8</f>
        <v>0</v>
      </c>
      <c r="I24" s="973">
        <f>+landbouw!H8</f>
        <v>0</v>
      </c>
      <c r="J24" s="973">
        <f>+landbouw!I8</f>
        <v>0</v>
      </c>
      <c r="K24" s="973">
        <f>+landbouw!J8</f>
        <v>90.496230172469382</v>
      </c>
      <c r="L24" s="973">
        <f>+landbouw!K8</f>
        <v>0</v>
      </c>
      <c r="M24" s="973">
        <f>+landbouw!L8</f>
        <v>0</v>
      </c>
      <c r="N24" s="973">
        <f>+landbouw!M8</f>
        <v>0</v>
      </c>
      <c r="O24" s="973">
        <f>+landbouw!N8</f>
        <v>0</v>
      </c>
      <c r="P24" s="973">
        <f>+landbouw!O8</f>
        <v>0</v>
      </c>
      <c r="Q24" s="974">
        <f>+landbouw!P8</f>
        <v>0</v>
      </c>
      <c r="R24" s="668">
        <f>SUM(C24:Q24)</f>
        <v>3459.4938948817712</v>
      </c>
      <c r="S24" s="67"/>
    </row>
    <row r="25" spans="1:19" s="441" customFormat="1" ht="15" thickBot="1">
      <c r="A25" s="799" t="s">
        <v>808</v>
      </c>
      <c r="B25" s="976"/>
      <c r="C25" s="977">
        <f>IF(Onbekend_ele_kWh="---",0,Onbekend_ele_kWh)/1000+IF(REST_rest_ele_kWh="---",0,REST_rest_ele_kWh)/1000</f>
        <v>789.18753801582295</v>
      </c>
      <c r="D25" s="977"/>
      <c r="E25" s="977">
        <f>IF(onbekend_gas_kWh="---",0,onbekend_gas_kWh)/1000+IF(REST_rest_gas_kWh="---",0,REST_rest_gas_kWh)/1000</f>
        <v>1579.69597792484</v>
      </c>
      <c r="F25" s="977"/>
      <c r="G25" s="977"/>
      <c r="H25" s="977"/>
      <c r="I25" s="977"/>
      <c r="J25" s="977"/>
      <c r="K25" s="977"/>
      <c r="L25" s="977"/>
      <c r="M25" s="977"/>
      <c r="N25" s="977"/>
      <c r="O25" s="977"/>
      <c r="P25" s="977"/>
      <c r="Q25" s="978"/>
      <c r="R25" s="668">
        <f>SUM(C25:Q25)</f>
        <v>2368.8835159406631</v>
      </c>
      <c r="S25" s="67"/>
    </row>
    <row r="26" spans="1:19" s="441" customFormat="1" ht="15.75" thickBot="1">
      <c r="A26" s="673" t="s">
        <v>809</v>
      </c>
      <c r="B26" s="785"/>
      <c r="C26" s="780">
        <f>SUM(C24:C25)</f>
        <v>1413.8227648447828</v>
      </c>
      <c r="D26" s="780">
        <f t="shared" ref="D26:R26" si="2">SUM(D24:D25)</f>
        <v>0</v>
      </c>
      <c r="E26" s="780">
        <f t="shared" si="2"/>
        <v>1703.5018771790549</v>
      </c>
      <c r="F26" s="780">
        <f t="shared" si="2"/>
        <v>18.359937172693492</v>
      </c>
      <c r="G26" s="780">
        <f t="shared" si="2"/>
        <v>2602.1966014534332</v>
      </c>
      <c r="H26" s="780">
        <f t="shared" si="2"/>
        <v>0</v>
      </c>
      <c r="I26" s="780">
        <f t="shared" si="2"/>
        <v>0</v>
      </c>
      <c r="J26" s="780">
        <f t="shared" si="2"/>
        <v>0</v>
      </c>
      <c r="K26" s="780">
        <f t="shared" si="2"/>
        <v>90.496230172469382</v>
      </c>
      <c r="L26" s="780">
        <f t="shared" si="2"/>
        <v>0</v>
      </c>
      <c r="M26" s="780">
        <f t="shared" si="2"/>
        <v>0</v>
      </c>
      <c r="N26" s="780">
        <f t="shared" si="2"/>
        <v>0</v>
      </c>
      <c r="O26" s="780">
        <f t="shared" si="2"/>
        <v>0</v>
      </c>
      <c r="P26" s="780">
        <f t="shared" si="2"/>
        <v>0</v>
      </c>
      <c r="Q26" s="780">
        <f t="shared" si="2"/>
        <v>0</v>
      </c>
      <c r="R26" s="780">
        <f t="shared" si="2"/>
        <v>5828.3774108224343</v>
      </c>
      <c r="S26" s="67"/>
    </row>
    <row r="27" spans="1:19" s="441" customFormat="1" ht="17.25" thickTop="1" thickBot="1">
      <c r="A27" s="674" t="s">
        <v>115</v>
      </c>
      <c r="B27" s="773"/>
      <c r="C27" s="675">
        <f ca="1">C22+C16+C26</f>
        <v>92951.438590598031</v>
      </c>
      <c r="D27" s="675">
        <f t="shared" ref="D27:R27" ca="1" si="3">D22+D16+D26</f>
        <v>256.33928571428572</v>
      </c>
      <c r="E27" s="675">
        <f t="shared" ca="1" si="3"/>
        <v>99944.205077114297</v>
      </c>
      <c r="F27" s="675">
        <f t="shared" si="3"/>
        <v>5532.7858533855015</v>
      </c>
      <c r="G27" s="675">
        <f t="shared" ca="1" si="3"/>
        <v>68398.047131892468</v>
      </c>
      <c r="H27" s="675">
        <f t="shared" si="3"/>
        <v>136112.20566840365</v>
      </c>
      <c r="I27" s="675">
        <f t="shared" si="3"/>
        <v>29190.725914191986</v>
      </c>
      <c r="J27" s="675">
        <f t="shared" si="3"/>
        <v>0</v>
      </c>
      <c r="K27" s="675">
        <f t="shared" si="3"/>
        <v>504.14223753832277</v>
      </c>
      <c r="L27" s="675">
        <f t="shared" si="3"/>
        <v>0</v>
      </c>
      <c r="M27" s="675">
        <f t="shared" ca="1" si="3"/>
        <v>0</v>
      </c>
      <c r="N27" s="675">
        <f t="shared" si="3"/>
        <v>8810.4680848947683</v>
      </c>
      <c r="O27" s="675">
        <f t="shared" ca="1" si="3"/>
        <v>15636.146918703507</v>
      </c>
      <c r="P27" s="675">
        <f t="shared" si="3"/>
        <v>397.0866666666667</v>
      </c>
      <c r="Q27" s="675">
        <f t="shared" si="3"/>
        <v>2040.1333333333332</v>
      </c>
      <c r="R27" s="675">
        <f t="shared" ca="1" si="3"/>
        <v>459773.72476243688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3280.8586679334394</v>
      </c>
      <c r="D40" s="973">
        <f ca="1">tertiair!C20</f>
        <v>47.837665618394595</v>
      </c>
      <c r="E40" s="973">
        <f ca="1">tertiair!D20</f>
        <v>2869.4022411045798</v>
      </c>
      <c r="F40" s="973">
        <f>tertiair!E20</f>
        <v>39.214423706562158</v>
      </c>
      <c r="G40" s="973">
        <f ca="1">tertiair!F20</f>
        <v>709.93131343528057</v>
      </c>
      <c r="H40" s="973">
        <f>tertiair!G20</f>
        <v>0</v>
      </c>
      <c r="I40" s="973">
        <f>tertiair!H20</f>
        <v>0</v>
      </c>
      <c r="J40" s="973">
        <f>tertiair!I20</f>
        <v>0</v>
      </c>
      <c r="K40" s="973">
        <f>tertiair!J20</f>
        <v>2.100577821838091E-2</v>
      </c>
      <c r="L40" s="973">
        <f>tertiair!K20</f>
        <v>0</v>
      </c>
      <c r="M40" s="973">
        <f ca="1">tertiair!L20</f>
        <v>0</v>
      </c>
      <c r="N40" s="973">
        <f>tertiair!M20</f>
        <v>0</v>
      </c>
      <c r="O40" s="973">
        <f ca="1">tertiair!N20</f>
        <v>0</v>
      </c>
      <c r="P40" s="973">
        <f>tertiair!O20</f>
        <v>0</v>
      </c>
      <c r="Q40" s="742">
        <f>tertiair!P20</f>
        <v>0</v>
      </c>
      <c r="R40" s="818">
        <f t="shared" ca="1" si="4"/>
        <v>6947.2653175764754</v>
      </c>
    </row>
    <row r="41" spans="1:18">
      <c r="A41" s="790" t="s">
        <v>219</v>
      </c>
      <c r="B41" s="797"/>
      <c r="C41" s="973">
        <f ca="1">huishoudens!B12</f>
        <v>6249.269126523367</v>
      </c>
      <c r="D41" s="973">
        <f ca="1">huishoudens!C12</f>
        <v>0</v>
      </c>
      <c r="E41" s="973">
        <f>huishoudens!D12</f>
        <v>9302.5720842017272</v>
      </c>
      <c r="F41" s="973">
        <f>huishoudens!E12</f>
        <v>475.77532298155671</v>
      </c>
      <c r="G41" s="973">
        <f>huishoudens!F12</f>
        <v>14178.069344998294</v>
      </c>
      <c r="H41" s="973">
        <f>huishoudens!G12</f>
        <v>0</v>
      </c>
      <c r="I41" s="973">
        <f>huishoudens!H12</f>
        <v>0</v>
      </c>
      <c r="J41" s="973">
        <f>huishoudens!I12</f>
        <v>0</v>
      </c>
      <c r="K41" s="973">
        <f>huishoudens!J12</f>
        <v>90.453336246638699</v>
      </c>
      <c r="L41" s="973">
        <f>huishoudens!K12</f>
        <v>0</v>
      </c>
      <c r="M41" s="973">
        <f>huishoudens!L12</f>
        <v>0</v>
      </c>
      <c r="N41" s="973">
        <f>huishoudens!M12</f>
        <v>0</v>
      </c>
      <c r="O41" s="973">
        <f>huishoudens!N12</f>
        <v>0</v>
      </c>
      <c r="P41" s="973">
        <f>huishoudens!O12</f>
        <v>0</v>
      </c>
      <c r="Q41" s="742">
        <f>huishoudens!P12</f>
        <v>0</v>
      </c>
      <c r="R41" s="818">
        <f t="shared" ca="1" si="4"/>
        <v>30296.139214951585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9577.2558674455449</v>
      </c>
      <c r="D43" s="973">
        <f ca="1">industrie!C22</f>
        <v>0</v>
      </c>
      <c r="E43" s="973">
        <f>industrie!D22</f>
        <v>7636.6737936710797</v>
      </c>
      <c r="F43" s="973">
        <f>industrie!E22</f>
        <v>659.68235490517009</v>
      </c>
      <c r="G43" s="973">
        <f>industrie!F22</f>
        <v>2679.4914331936529</v>
      </c>
      <c r="H43" s="973">
        <f>industrie!G22</f>
        <v>0</v>
      </c>
      <c r="I43" s="973">
        <f>industrie!H22</f>
        <v>0</v>
      </c>
      <c r="J43" s="973">
        <f>industrie!I22</f>
        <v>0</v>
      </c>
      <c r="K43" s="973">
        <f>industrie!J22</f>
        <v>55.956344582654999</v>
      </c>
      <c r="L43" s="973">
        <f>industrie!K22</f>
        <v>0</v>
      </c>
      <c r="M43" s="973">
        <f>industrie!L22</f>
        <v>0</v>
      </c>
      <c r="N43" s="973">
        <f>industrie!M22</f>
        <v>0</v>
      </c>
      <c r="O43" s="973">
        <f>industrie!N22</f>
        <v>0</v>
      </c>
      <c r="P43" s="973">
        <f>industrie!O22</f>
        <v>0</v>
      </c>
      <c r="Q43" s="742">
        <f>industrie!P22</f>
        <v>0</v>
      </c>
      <c r="R43" s="817">
        <f t="shared" ca="1" si="4"/>
        <v>20609.0597937981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19107.38366190235</v>
      </c>
      <c r="D46" s="700">
        <f t="shared" ref="D46:Q46" ca="1" si="5">SUM(D39:D45)</f>
        <v>47.837665618394595</v>
      </c>
      <c r="E46" s="700">
        <f t="shared" ca="1" si="5"/>
        <v>19808.648118977384</v>
      </c>
      <c r="F46" s="700">
        <f t="shared" si="5"/>
        <v>1174.672101593289</v>
      </c>
      <c r="G46" s="700">
        <f t="shared" ca="1" si="5"/>
        <v>17567.492091627228</v>
      </c>
      <c r="H46" s="700">
        <f t="shared" si="5"/>
        <v>0</v>
      </c>
      <c r="I46" s="700">
        <f t="shared" si="5"/>
        <v>0</v>
      </c>
      <c r="J46" s="700">
        <f t="shared" si="5"/>
        <v>0</v>
      </c>
      <c r="K46" s="700">
        <f t="shared" si="5"/>
        <v>146.43068660751209</v>
      </c>
      <c r="L46" s="700">
        <f t="shared" si="5"/>
        <v>0</v>
      </c>
      <c r="M46" s="700">
        <f t="shared" ca="1" si="5"/>
        <v>0</v>
      </c>
      <c r="N46" s="700">
        <f t="shared" si="5"/>
        <v>0</v>
      </c>
      <c r="O46" s="700">
        <f t="shared" ca="1" si="5"/>
        <v>0</v>
      </c>
      <c r="P46" s="700">
        <f t="shared" si="5"/>
        <v>0</v>
      </c>
      <c r="Q46" s="700">
        <f t="shared" si="5"/>
        <v>0</v>
      </c>
      <c r="R46" s="700">
        <f ca="1">SUM(R39:R45)</f>
        <v>57852.464326326161</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3.5333954525806113</v>
      </c>
      <c r="D49" s="973">
        <f ca="1">transport!C58</f>
        <v>0</v>
      </c>
      <c r="E49" s="973">
        <f>transport!D58</f>
        <v>0</v>
      </c>
      <c r="F49" s="973">
        <f>transport!E58</f>
        <v>0</v>
      </c>
      <c r="G49" s="973">
        <f>transport!F58</f>
        <v>0</v>
      </c>
      <c r="H49" s="973">
        <f>transport!G58</f>
        <v>423.96947604522097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427.50287149780161</v>
      </c>
    </row>
    <row r="50" spans="1:18">
      <c r="A50" s="793" t="s">
        <v>301</v>
      </c>
      <c r="B50" s="803"/>
      <c r="C50" s="671">
        <f ca="1">transport!B18</f>
        <v>23.683996166476476</v>
      </c>
      <c r="D50" s="671">
        <f>transport!C18</f>
        <v>0</v>
      </c>
      <c r="E50" s="671">
        <f>transport!D18</f>
        <v>35.973927409537652</v>
      </c>
      <c r="F50" s="671">
        <f>transport!E18</f>
        <v>77.102581387018446</v>
      </c>
      <c r="G50" s="671">
        <f>transport!F18</f>
        <v>0</v>
      </c>
      <c r="H50" s="671">
        <f>transport!G18</f>
        <v>35917.989437418553</v>
      </c>
      <c r="I50" s="671">
        <f>transport!H18</f>
        <v>7268.4907526338047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43323.240695015389</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27.217391619057086</v>
      </c>
      <c r="D52" s="700">
        <f t="shared" ref="D52:Q52" ca="1" si="6">SUM(D48:D51)</f>
        <v>0</v>
      </c>
      <c r="E52" s="700">
        <f t="shared" si="6"/>
        <v>35.973927409537652</v>
      </c>
      <c r="F52" s="700">
        <f t="shared" si="6"/>
        <v>77.102581387018446</v>
      </c>
      <c r="G52" s="700">
        <f t="shared" si="6"/>
        <v>0</v>
      </c>
      <c r="H52" s="700">
        <f t="shared" si="6"/>
        <v>36341.958913463772</v>
      </c>
      <c r="I52" s="700">
        <f t="shared" si="6"/>
        <v>7268.4907526338047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43750.743566513192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130.5708670859371</v>
      </c>
      <c r="D54" s="671">
        <f ca="1">+landbouw!C12</f>
        <v>0</v>
      </c>
      <c r="E54" s="671">
        <f>+landbouw!D12</f>
        <v>25.008791649351419</v>
      </c>
      <c r="F54" s="671">
        <f>+landbouw!E12</f>
        <v>4.1677057382014224</v>
      </c>
      <c r="G54" s="671">
        <f>+landbouw!F12</f>
        <v>694.78649258806672</v>
      </c>
      <c r="H54" s="671">
        <f>+landbouw!G12</f>
        <v>0</v>
      </c>
      <c r="I54" s="671">
        <f>+landbouw!H12</f>
        <v>0</v>
      </c>
      <c r="J54" s="671">
        <f>+landbouw!I12</f>
        <v>0</v>
      </c>
      <c r="K54" s="671">
        <f>+landbouw!J12</f>
        <v>32.03566548105416</v>
      </c>
      <c r="L54" s="671">
        <f>+landbouw!K12</f>
        <v>0</v>
      </c>
      <c r="M54" s="671">
        <f>+landbouw!L12</f>
        <v>0</v>
      </c>
      <c r="N54" s="671">
        <f>+landbouw!M12</f>
        <v>0</v>
      </c>
      <c r="O54" s="671">
        <f>+landbouw!N12</f>
        <v>0</v>
      </c>
      <c r="P54" s="671">
        <f>+landbouw!O12</f>
        <v>0</v>
      </c>
      <c r="Q54" s="672">
        <f>+landbouw!P12</f>
        <v>0</v>
      </c>
      <c r="R54" s="699">
        <f ca="1">SUM(C54:Q54)</f>
        <v>886.5695225426108</v>
      </c>
    </row>
    <row r="55" spans="1:18" ht="15" thickBot="1">
      <c r="A55" s="793" t="s">
        <v>808</v>
      </c>
      <c r="B55" s="803"/>
      <c r="C55" s="671">
        <f ca="1">C25*'EF ele_warmte'!B12</f>
        <v>164.9681233241719</v>
      </c>
      <c r="D55" s="671"/>
      <c r="E55" s="671">
        <f>E25*EF_CO2_aardgas</f>
        <v>319.09858754081768</v>
      </c>
      <c r="F55" s="671"/>
      <c r="G55" s="671"/>
      <c r="H55" s="671"/>
      <c r="I55" s="671"/>
      <c r="J55" s="671"/>
      <c r="K55" s="671"/>
      <c r="L55" s="671"/>
      <c r="M55" s="671"/>
      <c r="N55" s="671"/>
      <c r="O55" s="671"/>
      <c r="P55" s="671"/>
      <c r="Q55" s="672"/>
      <c r="R55" s="699">
        <f ca="1">SUM(C55:Q55)</f>
        <v>484.06671086498955</v>
      </c>
    </row>
    <row r="56" spans="1:18" ht="15.75" thickBot="1">
      <c r="A56" s="791" t="s">
        <v>809</v>
      </c>
      <c r="B56" s="804"/>
      <c r="C56" s="700">
        <f ca="1">SUM(C54:C55)</f>
        <v>295.53899041010902</v>
      </c>
      <c r="D56" s="700">
        <f t="shared" ref="D56:Q56" ca="1" si="7">SUM(D54:D55)</f>
        <v>0</v>
      </c>
      <c r="E56" s="700">
        <f t="shared" si="7"/>
        <v>344.10737919016907</v>
      </c>
      <c r="F56" s="700">
        <f t="shared" si="7"/>
        <v>4.1677057382014224</v>
      </c>
      <c r="G56" s="700">
        <f t="shared" si="7"/>
        <v>694.78649258806672</v>
      </c>
      <c r="H56" s="700">
        <f t="shared" si="7"/>
        <v>0</v>
      </c>
      <c r="I56" s="700">
        <f t="shared" si="7"/>
        <v>0</v>
      </c>
      <c r="J56" s="700">
        <f t="shared" si="7"/>
        <v>0</v>
      </c>
      <c r="K56" s="700">
        <f t="shared" si="7"/>
        <v>32.03566548105416</v>
      </c>
      <c r="L56" s="700">
        <f t="shared" si="7"/>
        <v>0</v>
      </c>
      <c r="M56" s="700">
        <f t="shared" si="7"/>
        <v>0</v>
      </c>
      <c r="N56" s="700">
        <f t="shared" si="7"/>
        <v>0</v>
      </c>
      <c r="O56" s="700">
        <f t="shared" si="7"/>
        <v>0</v>
      </c>
      <c r="P56" s="700">
        <f t="shared" si="7"/>
        <v>0</v>
      </c>
      <c r="Q56" s="701">
        <f t="shared" si="7"/>
        <v>0</v>
      </c>
      <c r="R56" s="702">
        <f ca="1">SUM(R54:R55)</f>
        <v>1370.6362334076002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19430.140043931518</v>
      </c>
      <c r="D61" s="708">
        <f t="shared" ref="D61:Q61" ca="1" si="8">D46+D52+D56</f>
        <v>47.837665618394595</v>
      </c>
      <c r="E61" s="708">
        <f t="shared" ca="1" si="8"/>
        <v>20188.72942557709</v>
      </c>
      <c r="F61" s="708">
        <f t="shared" si="8"/>
        <v>1255.9423887185089</v>
      </c>
      <c r="G61" s="708">
        <f t="shared" ca="1" si="8"/>
        <v>18262.278584215295</v>
      </c>
      <c r="H61" s="708">
        <f t="shared" si="8"/>
        <v>36341.958913463772</v>
      </c>
      <c r="I61" s="708">
        <f t="shared" si="8"/>
        <v>7268.4907526338047</v>
      </c>
      <c r="J61" s="708">
        <f t="shared" si="8"/>
        <v>0</v>
      </c>
      <c r="K61" s="708">
        <f t="shared" si="8"/>
        <v>178.46635208856625</v>
      </c>
      <c r="L61" s="708">
        <f t="shared" si="8"/>
        <v>0</v>
      </c>
      <c r="M61" s="708">
        <f t="shared" ca="1" si="8"/>
        <v>0</v>
      </c>
      <c r="N61" s="708">
        <f t="shared" si="8"/>
        <v>0</v>
      </c>
      <c r="O61" s="708">
        <f t="shared" ca="1" si="8"/>
        <v>0</v>
      </c>
      <c r="P61" s="708">
        <f t="shared" si="8"/>
        <v>0</v>
      </c>
      <c r="Q61" s="708">
        <f t="shared" si="8"/>
        <v>0</v>
      </c>
      <c r="R61" s="708">
        <f ca="1">R46+R52+R56</f>
        <v>102973.84412624696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0.2090353881397255</v>
      </c>
      <c r="D63" s="749">
        <f t="shared" ca="1" si="9"/>
        <v>0.18661854926019486</v>
      </c>
      <c r="E63" s="984">
        <f t="shared" ca="1" si="9"/>
        <v>0.20200000000000001</v>
      </c>
      <c r="F63" s="749">
        <f t="shared" si="9"/>
        <v>0.22700000000000001</v>
      </c>
      <c r="G63" s="749">
        <f t="shared" ca="1" si="9"/>
        <v>0.26700000000000007</v>
      </c>
      <c r="H63" s="749">
        <f t="shared" si="9"/>
        <v>0.26699999999999996</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193.49682045051193</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4809.3529098699682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40.582822085889568</v>
      </c>
      <c r="C76" s="718">
        <f>'lokale energieproductie'!B8*IFERROR(SUM(D76:H76)/SUM(D76:O76),0)</f>
        <v>148.41717791411043</v>
      </c>
      <c r="D76" s="994">
        <f>'lokale energieproductie'!C8</f>
        <v>174.6084446048358</v>
      </c>
      <c r="E76" s="995">
        <f>'lokale energieproductie'!D8</f>
        <v>0</v>
      </c>
      <c r="F76" s="995">
        <f>'lokale energieproductie'!E8</f>
        <v>0</v>
      </c>
      <c r="G76" s="995">
        <f>'lokale energieproductie'!F8</f>
        <v>0</v>
      </c>
      <c r="H76" s="995">
        <f>'lokale energieproductie'!G8</f>
        <v>0</v>
      </c>
      <c r="I76" s="995">
        <f>'lokale energieproductie'!I8</f>
        <v>47.744496571634784</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35.270905810176835</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5043.4325524063697</v>
      </c>
      <c r="C78" s="723">
        <f>SUM(C72:C77)</f>
        <v>148.41717791411043</v>
      </c>
      <c r="D78" s="724">
        <f t="shared" ref="D78:H78" si="10">SUM(D76:D77)</f>
        <v>174.6084446048358</v>
      </c>
      <c r="E78" s="724">
        <f t="shared" si="10"/>
        <v>0</v>
      </c>
      <c r="F78" s="724">
        <f t="shared" si="10"/>
        <v>0</v>
      </c>
      <c r="G78" s="724">
        <f t="shared" si="10"/>
        <v>0</v>
      </c>
      <c r="H78" s="724">
        <f t="shared" si="10"/>
        <v>0</v>
      </c>
      <c r="I78" s="724">
        <f>SUM(I76:I77)</f>
        <v>47.744496571634784</v>
      </c>
      <c r="J78" s="724">
        <f>SUM(J76:J77)</f>
        <v>0</v>
      </c>
      <c r="K78" s="724">
        <f t="shared" ref="K78:L78" si="11">SUM(K76:K77)</f>
        <v>0</v>
      </c>
      <c r="L78" s="724">
        <f t="shared" si="11"/>
        <v>0</v>
      </c>
      <c r="M78" s="724">
        <f>SUM(M76:M77)</f>
        <v>0</v>
      </c>
      <c r="N78" s="724">
        <f>SUM(N76:N77)</f>
        <v>0</v>
      </c>
      <c r="O78" s="828">
        <f>SUM(O76:O77)</f>
        <v>0</v>
      </c>
      <c r="P78" s="725">
        <v>0</v>
      </c>
      <c r="Q78" s="725">
        <f>SUM(Q76:Q77)</f>
        <v>35.270905810176835</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55.042177914110425</v>
      </c>
      <c r="C87" s="734">
        <f>'lokale energieproductie'!B17*IFERROR(SUM(D87:H87)/SUM(D87:O87),0)</f>
        <v>201.2971078001753</v>
      </c>
      <c r="D87" s="745">
        <f>'lokale energieproductie'!C17</f>
        <v>236.82012682373562</v>
      </c>
      <c r="E87" s="745">
        <f>'lokale energieproductie'!D17</f>
        <v>0</v>
      </c>
      <c r="F87" s="745">
        <f>'lokale energieproductie'!E17</f>
        <v>0</v>
      </c>
      <c r="G87" s="745">
        <f>'lokale energieproductie'!F17</f>
        <v>0</v>
      </c>
      <c r="H87" s="745">
        <f>'lokale energieproductie'!G17</f>
        <v>0</v>
      </c>
      <c r="I87" s="745">
        <f>'lokale energieproductie'!I17</f>
        <v>64.755503428365202</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47.837665618394595</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55.042177914110425</v>
      </c>
      <c r="C90" s="723">
        <f>SUM(C87:C89)</f>
        <v>201.2971078001753</v>
      </c>
      <c r="D90" s="723">
        <f t="shared" ref="D90:H90" si="12">SUM(D87:D89)</f>
        <v>236.82012682373562</v>
      </c>
      <c r="E90" s="723">
        <f t="shared" si="12"/>
        <v>0</v>
      </c>
      <c r="F90" s="723">
        <f t="shared" si="12"/>
        <v>0</v>
      </c>
      <c r="G90" s="723">
        <f t="shared" si="12"/>
        <v>0</v>
      </c>
      <c r="H90" s="723">
        <f t="shared" si="12"/>
        <v>0</v>
      </c>
      <c r="I90" s="723">
        <f>SUM(I87:I89)</f>
        <v>64.755503428365202</v>
      </c>
      <c r="J90" s="723">
        <f>SUM(J87:J89)</f>
        <v>0</v>
      </c>
      <c r="K90" s="723">
        <f t="shared" ref="K90:L90" si="13">SUM(K87:K89)</f>
        <v>0</v>
      </c>
      <c r="L90" s="723">
        <f t="shared" si="13"/>
        <v>0</v>
      </c>
      <c r="M90" s="723">
        <f>SUM(M87:M89)</f>
        <v>0</v>
      </c>
      <c r="N90" s="723">
        <f>SUM(N87:N89)</f>
        <v>0</v>
      </c>
      <c r="O90" s="723">
        <f>SUM(O87:O89)</f>
        <v>0</v>
      </c>
      <c r="P90" s="723">
        <v>0</v>
      </c>
      <c r="Q90" s="723">
        <f>SUM(Q87:Q89)</f>
        <v>47.837665618394595</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29895.747232742091</v>
      </c>
      <c r="C4" s="445">
        <f>huishoudens!C8</f>
        <v>0</v>
      </c>
      <c r="D4" s="445">
        <f>huishoudens!D8</f>
        <v>46052.337050503593</v>
      </c>
      <c r="E4" s="445">
        <f>huishoudens!E8</f>
        <v>2095.9265329583995</v>
      </c>
      <c r="F4" s="445">
        <f>huishoudens!F8</f>
        <v>53101.383314600345</v>
      </c>
      <c r="G4" s="445">
        <f>huishoudens!G8</f>
        <v>0</v>
      </c>
      <c r="H4" s="445">
        <f>huishoudens!H8</f>
        <v>0</v>
      </c>
      <c r="I4" s="445">
        <f>huishoudens!I8</f>
        <v>0</v>
      </c>
      <c r="J4" s="445">
        <f>huishoudens!J8</f>
        <v>255.51789900180427</v>
      </c>
      <c r="K4" s="445">
        <f>huishoudens!K8</f>
        <v>0</v>
      </c>
      <c r="L4" s="445">
        <f>huishoudens!L8</f>
        <v>0</v>
      </c>
      <c r="M4" s="445">
        <f>huishoudens!M8</f>
        <v>0</v>
      </c>
      <c r="N4" s="445">
        <f>huishoudens!N8</f>
        <v>10054.901228706874</v>
      </c>
      <c r="O4" s="445">
        <f>huishoudens!O8</f>
        <v>395.52333333333337</v>
      </c>
      <c r="P4" s="446">
        <f>huishoudens!P8</f>
        <v>2021.0666666666666</v>
      </c>
      <c r="Q4" s="447">
        <f>SUM(B4:P4)</f>
        <v>143872.40325851314</v>
      </c>
    </row>
    <row r="5" spans="1:17">
      <c r="A5" s="444" t="s">
        <v>155</v>
      </c>
      <c r="B5" s="445">
        <f ca="1">tertiair!B16</f>
        <v>14995.799827329658</v>
      </c>
      <c r="C5" s="445">
        <f ca="1">tertiair!C16</f>
        <v>256.33928571428572</v>
      </c>
      <c r="D5" s="445">
        <f ca="1">tertiair!D16</f>
        <v>14204.961589626631</v>
      </c>
      <c r="E5" s="445">
        <f>tertiair!E16</f>
        <v>172.75076522714608</v>
      </c>
      <c r="F5" s="445">
        <f ca="1">tertiair!F16</f>
        <v>2658.9187769111631</v>
      </c>
      <c r="G5" s="445">
        <f>tertiair!G16</f>
        <v>0</v>
      </c>
      <c r="H5" s="445">
        <f>tertiair!H16</f>
        <v>0</v>
      </c>
      <c r="I5" s="445">
        <f>tertiair!I16</f>
        <v>0</v>
      </c>
      <c r="J5" s="445">
        <f>tertiair!J16</f>
        <v>5.9338356549098623E-2</v>
      </c>
      <c r="K5" s="445">
        <f>tertiair!K16</f>
        <v>0</v>
      </c>
      <c r="L5" s="445">
        <f ca="1">tertiair!L16</f>
        <v>0</v>
      </c>
      <c r="M5" s="445">
        <f>tertiair!M16</f>
        <v>0</v>
      </c>
      <c r="N5" s="445">
        <f ca="1">tertiair!N16</f>
        <v>2346.6402011447708</v>
      </c>
      <c r="O5" s="445">
        <f>tertiair!O16</f>
        <v>1.5633333333333335</v>
      </c>
      <c r="P5" s="446">
        <f>tertiair!P16</f>
        <v>19.066666666666666</v>
      </c>
      <c r="Q5" s="444">
        <f t="shared" ref="Q5:Q14" ca="1" si="0">SUM(B5:P5)</f>
        <v>34656.099784310201</v>
      </c>
    </row>
    <row r="6" spans="1:17">
      <c r="A6" s="444" t="s">
        <v>193</v>
      </c>
      <c r="B6" s="445">
        <f>'openbare verlichting'!B8</f>
        <v>699.43100000000004</v>
      </c>
      <c r="C6" s="445"/>
      <c r="D6" s="445"/>
      <c r="E6" s="445"/>
      <c r="F6" s="445"/>
      <c r="G6" s="445"/>
      <c r="H6" s="445"/>
      <c r="I6" s="445"/>
      <c r="J6" s="445"/>
      <c r="K6" s="445"/>
      <c r="L6" s="445"/>
      <c r="M6" s="445"/>
      <c r="N6" s="445"/>
      <c r="O6" s="445"/>
      <c r="P6" s="446"/>
      <c r="Q6" s="444">
        <f t="shared" si="0"/>
        <v>699.43100000000004</v>
      </c>
    </row>
    <row r="7" spans="1:17">
      <c r="A7" s="444" t="s">
        <v>111</v>
      </c>
      <c r="B7" s="445">
        <f>landbouw!B8</f>
        <v>624.63522682895996</v>
      </c>
      <c r="C7" s="445">
        <f>landbouw!C8</f>
        <v>0</v>
      </c>
      <c r="D7" s="445">
        <f>landbouw!D8</f>
        <v>123.80589925421494</v>
      </c>
      <c r="E7" s="445">
        <f>landbouw!E8</f>
        <v>18.359937172693492</v>
      </c>
      <c r="F7" s="445">
        <f>landbouw!F8</f>
        <v>2602.1966014534332</v>
      </c>
      <c r="G7" s="445">
        <f>landbouw!G8</f>
        <v>0</v>
      </c>
      <c r="H7" s="445">
        <f>landbouw!H8</f>
        <v>0</v>
      </c>
      <c r="I7" s="445">
        <f>landbouw!I8</f>
        <v>0</v>
      </c>
      <c r="J7" s="445">
        <f>landbouw!J8</f>
        <v>90.496230172469382</v>
      </c>
      <c r="K7" s="445">
        <f>landbouw!K8</f>
        <v>0</v>
      </c>
      <c r="L7" s="445">
        <f>landbouw!L8</f>
        <v>0</v>
      </c>
      <c r="M7" s="445">
        <f>landbouw!M8</f>
        <v>0</v>
      </c>
      <c r="N7" s="445">
        <f>landbouw!N8</f>
        <v>0</v>
      </c>
      <c r="O7" s="445">
        <f>landbouw!O8</f>
        <v>0</v>
      </c>
      <c r="P7" s="446">
        <f>landbouw!P8</f>
        <v>0</v>
      </c>
      <c r="Q7" s="444">
        <f t="shared" si="0"/>
        <v>3459.4938948817712</v>
      </c>
    </row>
    <row r="8" spans="1:17">
      <c r="A8" s="444" t="s">
        <v>627</v>
      </c>
      <c r="B8" s="445">
        <f>industrie!B18</f>
        <v>45816.433057946255</v>
      </c>
      <c r="C8" s="445">
        <f>industrie!C18</f>
        <v>0</v>
      </c>
      <c r="D8" s="445">
        <f>industrie!D18</f>
        <v>37805.315810252869</v>
      </c>
      <c r="E8" s="445">
        <f>industrie!E18</f>
        <v>2906.0896691857711</v>
      </c>
      <c r="F8" s="445">
        <f>industrie!F18</f>
        <v>10035.548438927539</v>
      </c>
      <c r="G8" s="445">
        <f>industrie!G18</f>
        <v>0</v>
      </c>
      <c r="H8" s="445">
        <f>industrie!H18</f>
        <v>0</v>
      </c>
      <c r="I8" s="445">
        <f>industrie!I18</f>
        <v>0</v>
      </c>
      <c r="J8" s="445">
        <f>industrie!J18</f>
        <v>158.06877000750001</v>
      </c>
      <c r="K8" s="445">
        <f>industrie!K18</f>
        <v>0</v>
      </c>
      <c r="L8" s="445">
        <f>industrie!L18</f>
        <v>0</v>
      </c>
      <c r="M8" s="445">
        <f>industrie!M18</f>
        <v>0</v>
      </c>
      <c r="N8" s="445">
        <f>industrie!N18</f>
        <v>3234.6054888518634</v>
      </c>
      <c r="O8" s="445">
        <f>industrie!O18</f>
        <v>0</v>
      </c>
      <c r="P8" s="446">
        <f>industrie!P18</f>
        <v>0</v>
      </c>
      <c r="Q8" s="444">
        <f t="shared" si="0"/>
        <v>99956.061235171815</v>
      </c>
    </row>
    <row r="9" spans="1:17" s="450" customFormat="1">
      <c r="A9" s="448" t="s">
        <v>553</v>
      </c>
      <c r="B9" s="449">
        <f>transport!B14</f>
        <v>113.30137149144042</v>
      </c>
      <c r="C9" s="449">
        <f>transport!C14</f>
        <v>0</v>
      </c>
      <c r="D9" s="449">
        <f>transport!D14</f>
        <v>178.08874955216658</v>
      </c>
      <c r="E9" s="449">
        <f>transport!E14</f>
        <v>339.65894884149094</v>
      </c>
      <c r="F9" s="449">
        <f>transport!F14</f>
        <v>0</v>
      </c>
      <c r="G9" s="449">
        <f>transport!G14</f>
        <v>134524.30500905824</v>
      </c>
      <c r="H9" s="449">
        <f>transport!H14</f>
        <v>29190.725914191986</v>
      </c>
      <c r="I9" s="449">
        <f>transport!I14</f>
        <v>0</v>
      </c>
      <c r="J9" s="449">
        <f>transport!J14</f>
        <v>0</v>
      </c>
      <c r="K9" s="449">
        <f>transport!K14</f>
        <v>0</v>
      </c>
      <c r="L9" s="449">
        <f>transport!L14</f>
        <v>0</v>
      </c>
      <c r="M9" s="449">
        <f>transport!M14</f>
        <v>8719.0256536202451</v>
      </c>
      <c r="N9" s="449">
        <f>transport!N14</f>
        <v>0</v>
      </c>
      <c r="O9" s="449">
        <f>transport!O14</f>
        <v>0</v>
      </c>
      <c r="P9" s="449">
        <f>transport!P14</f>
        <v>0</v>
      </c>
      <c r="Q9" s="448">
        <f>SUM(B9:P9)</f>
        <v>173065.10564675558</v>
      </c>
    </row>
    <row r="10" spans="1:17">
      <c r="A10" s="444" t="s">
        <v>543</v>
      </c>
      <c r="B10" s="445">
        <f>transport!B54</f>
        <v>16.903336243807601</v>
      </c>
      <c r="C10" s="445">
        <f>transport!C54</f>
        <v>0</v>
      </c>
      <c r="D10" s="445">
        <f>transport!D54</f>
        <v>0</v>
      </c>
      <c r="E10" s="445">
        <f>transport!E54</f>
        <v>0</v>
      </c>
      <c r="F10" s="445">
        <f>transport!F54</f>
        <v>0</v>
      </c>
      <c r="G10" s="445">
        <f>transport!G54</f>
        <v>1587.9006593453969</v>
      </c>
      <c r="H10" s="445">
        <f>transport!H54</f>
        <v>0</v>
      </c>
      <c r="I10" s="445">
        <f>transport!I54</f>
        <v>0</v>
      </c>
      <c r="J10" s="445">
        <f>transport!J54</f>
        <v>0</v>
      </c>
      <c r="K10" s="445">
        <f>transport!K54</f>
        <v>0</v>
      </c>
      <c r="L10" s="445">
        <f>transport!L54</f>
        <v>0</v>
      </c>
      <c r="M10" s="445">
        <f>transport!M54</f>
        <v>91.442431274524097</v>
      </c>
      <c r="N10" s="445">
        <f>transport!N54</f>
        <v>0</v>
      </c>
      <c r="O10" s="445">
        <f>transport!O54</f>
        <v>0</v>
      </c>
      <c r="P10" s="446">
        <f>transport!P54</f>
        <v>0</v>
      </c>
      <c r="Q10" s="444">
        <f t="shared" si="0"/>
        <v>1696.2464268637286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789.18753801582295</v>
      </c>
      <c r="C14" s="452"/>
      <c r="D14" s="452">
        <f>'SEAP template'!E25</f>
        <v>1579.69597792484</v>
      </c>
      <c r="E14" s="452"/>
      <c r="F14" s="452"/>
      <c r="G14" s="452"/>
      <c r="H14" s="452"/>
      <c r="I14" s="452"/>
      <c r="J14" s="452"/>
      <c r="K14" s="452"/>
      <c r="L14" s="452"/>
      <c r="M14" s="452"/>
      <c r="N14" s="452"/>
      <c r="O14" s="452"/>
      <c r="P14" s="453"/>
      <c r="Q14" s="444">
        <f t="shared" si="0"/>
        <v>2368.8835159406631</v>
      </c>
    </row>
    <row r="15" spans="1:17" s="454" customFormat="1">
      <c r="A15" s="999" t="s">
        <v>547</v>
      </c>
      <c r="B15" s="947">
        <f ca="1">SUM(B4:B14)</f>
        <v>92951.438590598031</v>
      </c>
      <c r="C15" s="947">
        <f t="shared" ref="C15:Q15" ca="1" si="1">SUM(C4:C14)</f>
        <v>256.33928571428572</v>
      </c>
      <c r="D15" s="947">
        <f t="shared" ca="1" si="1"/>
        <v>99944.205077114311</v>
      </c>
      <c r="E15" s="947">
        <f t="shared" si="1"/>
        <v>5532.7858533855015</v>
      </c>
      <c r="F15" s="947">
        <f t="shared" ca="1" si="1"/>
        <v>68398.047131892483</v>
      </c>
      <c r="G15" s="947">
        <f t="shared" si="1"/>
        <v>136112.20566840365</v>
      </c>
      <c r="H15" s="947">
        <f t="shared" si="1"/>
        <v>29190.725914191986</v>
      </c>
      <c r="I15" s="947">
        <f t="shared" si="1"/>
        <v>0</v>
      </c>
      <c r="J15" s="947">
        <f t="shared" si="1"/>
        <v>504.14223753832277</v>
      </c>
      <c r="K15" s="947">
        <f t="shared" si="1"/>
        <v>0</v>
      </c>
      <c r="L15" s="947">
        <f t="shared" ca="1" si="1"/>
        <v>0</v>
      </c>
      <c r="M15" s="947">
        <f t="shared" si="1"/>
        <v>8810.4680848947683</v>
      </c>
      <c r="N15" s="947">
        <f t="shared" ca="1" si="1"/>
        <v>15636.146918703507</v>
      </c>
      <c r="O15" s="947">
        <f t="shared" si="1"/>
        <v>397.0866666666667</v>
      </c>
      <c r="P15" s="947">
        <f t="shared" si="1"/>
        <v>2040.1333333333332</v>
      </c>
      <c r="Q15" s="947">
        <f t="shared" ca="1" si="1"/>
        <v>459773.72476243688</v>
      </c>
    </row>
    <row r="17" spans="1:17">
      <c r="A17" s="455" t="s">
        <v>548</v>
      </c>
      <c r="B17" s="754">
        <f ca="1">huishoudens!B10</f>
        <v>0.20903538813972547</v>
      </c>
      <c r="C17" s="754">
        <f ca="1">huishoudens!C10</f>
        <v>0.18661854926019486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6249.269126523367</v>
      </c>
      <c r="C22" s="445">
        <f t="shared" ref="C22:C32" ca="1" si="3">C4*$C$17</f>
        <v>0</v>
      </c>
      <c r="D22" s="445">
        <f t="shared" ref="D22:D32" si="4">D4*$D$17</f>
        <v>9302.5720842017272</v>
      </c>
      <c r="E22" s="445">
        <f t="shared" ref="E22:E32" si="5">E4*$E$17</f>
        <v>475.77532298155671</v>
      </c>
      <c r="F22" s="445">
        <f t="shared" ref="F22:F32" si="6">F4*$F$17</f>
        <v>14178.069344998294</v>
      </c>
      <c r="G22" s="445">
        <f t="shared" ref="G22:G32" si="7">G4*$G$17</f>
        <v>0</v>
      </c>
      <c r="H22" s="445">
        <f t="shared" ref="H22:H32" si="8">H4*$H$17</f>
        <v>0</v>
      </c>
      <c r="I22" s="445">
        <f t="shared" ref="I22:I32" si="9">I4*$I$17</f>
        <v>0</v>
      </c>
      <c r="J22" s="445">
        <f t="shared" ref="J22:J32" si="10">J4*$J$17</f>
        <v>90.453336246638699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30296.139214951585</v>
      </c>
    </row>
    <row r="23" spans="1:17">
      <c r="A23" s="444" t="s">
        <v>155</v>
      </c>
      <c r="B23" s="445">
        <f t="shared" ca="1" si="2"/>
        <v>3134.6528373714832</v>
      </c>
      <c r="C23" s="445">
        <f t="shared" ca="1" si="3"/>
        <v>47.837665618394595</v>
      </c>
      <c r="D23" s="445">
        <f t="shared" ca="1" si="4"/>
        <v>2869.4022411045798</v>
      </c>
      <c r="E23" s="445">
        <f t="shared" si="5"/>
        <v>39.214423706562158</v>
      </c>
      <c r="F23" s="445">
        <f t="shared" ca="1" si="6"/>
        <v>709.93131343528057</v>
      </c>
      <c r="G23" s="445">
        <f t="shared" si="7"/>
        <v>0</v>
      </c>
      <c r="H23" s="445">
        <f t="shared" si="8"/>
        <v>0</v>
      </c>
      <c r="I23" s="445">
        <f t="shared" si="9"/>
        <v>0</v>
      </c>
      <c r="J23" s="445">
        <f t="shared" si="10"/>
        <v>2.100577821838091E-2</v>
      </c>
      <c r="K23" s="445">
        <f t="shared" si="11"/>
        <v>0</v>
      </c>
      <c r="L23" s="445">
        <f t="shared" ca="1" si="12"/>
        <v>0</v>
      </c>
      <c r="M23" s="445">
        <f t="shared" si="13"/>
        <v>0</v>
      </c>
      <c r="N23" s="445">
        <f t="shared" ca="1" si="14"/>
        <v>0</v>
      </c>
      <c r="O23" s="445">
        <f t="shared" si="15"/>
        <v>0</v>
      </c>
      <c r="P23" s="446">
        <f t="shared" si="16"/>
        <v>0</v>
      </c>
      <c r="Q23" s="444">
        <f t="shared" ref="Q23:Q32" ca="1" si="17">SUM(B23:P23)</f>
        <v>6801.0594870145187</v>
      </c>
    </row>
    <row r="24" spans="1:17">
      <c r="A24" s="444" t="s">
        <v>193</v>
      </c>
      <c r="B24" s="445">
        <f t="shared" ca="1" si="2"/>
        <v>146.20583056195633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146.20583056195633</v>
      </c>
    </row>
    <row r="25" spans="1:17">
      <c r="A25" s="444" t="s">
        <v>111</v>
      </c>
      <c r="B25" s="445">
        <f t="shared" ca="1" si="2"/>
        <v>130.5708670859371</v>
      </c>
      <c r="C25" s="445">
        <f t="shared" ca="1" si="3"/>
        <v>0</v>
      </c>
      <c r="D25" s="445">
        <f t="shared" si="4"/>
        <v>25.008791649351419</v>
      </c>
      <c r="E25" s="445">
        <f t="shared" si="5"/>
        <v>4.1677057382014224</v>
      </c>
      <c r="F25" s="445">
        <f t="shared" si="6"/>
        <v>694.78649258806672</v>
      </c>
      <c r="G25" s="445">
        <f t="shared" si="7"/>
        <v>0</v>
      </c>
      <c r="H25" s="445">
        <f t="shared" si="8"/>
        <v>0</v>
      </c>
      <c r="I25" s="445">
        <f t="shared" si="9"/>
        <v>0</v>
      </c>
      <c r="J25" s="445">
        <f t="shared" si="10"/>
        <v>32.03566548105416</v>
      </c>
      <c r="K25" s="445">
        <f t="shared" si="11"/>
        <v>0</v>
      </c>
      <c r="L25" s="445">
        <f t="shared" si="12"/>
        <v>0</v>
      </c>
      <c r="M25" s="445">
        <f t="shared" si="13"/>
        <v>0</v>
      </c>
      <c r="N25" s="445">
        <f t="shared" si="14"/>
        <v>0</v>
      </c>
      <c r="O25" s="445">
        <f t="shared" si="15"/>
        <v>0</v>
      </c>
      <c r="P25" s="446">
        <f t="shared" si="16"/>
        <v>0</v>
      </c>
      <c r="Q25" s="444">
        <f t="shared" ca="1" si="17"/>
        <v>886.5695225426108</v>
      </c>
    </row>
    <row r="26" spans="1:17">
      <c r="A26" s="444" t="s">
        <v>627</v>
      </c>
      <c r="B26" s="445">
        <f t="shared" ca="1" si="2"/>
        <v>9577.2558674455449</v>
      </c>
      <c r="C26" s="445">
        <f t="shared" ca="1" si="3"/>
        <v>0</v>
      </c>
      <c r="D26" s="445">
        <f t="shared" si="4"/>
        <v>7636.6737936710797</v>
      </c>
      <c r="E26" s="445">
        <f t="shared" si="5"/>
        <v>659.68235490517009</v>
      </c>
      <c r="F26" s="445">
        <f t="shared" si="6"/>
        <v>2679.4914331936529</v>
      </c>
      <c r="G26" s="445">
        <f t="shared" si="7"/>
        <v>0</v>
      </c>
      <c r="H26" s="445">
        <f t="shared" si="8"/>
        <v>0</v>
      </c>
      <c r="I26" s="445">
        <f t="shared" si="9"/>
        <v>0</v>
      </c>
      <c r="J26" s="445">
        <f t="shared" si="10"/>
        <v>55.956344582654999</v>
      </c>
      <c r="K26" s="445">
        <f t="shared" si="11"/>
        <v>0</v>
      </c>
      <c r="L26" s="445">
        <f t="shared" si="12"/>
        <v>0</v>
      </c>
      <c r="M26" s="445">
        <f t="shared" si="13"/>
        <v>0</v>
      </c>
      <c r="N26" s="445">
        <f t="shared" si="14"/>
        <v>0</v>
      </c>
      <c r="O26" s="445">
        <f t="shared" si="15"/>
        <v>0</v>
      </c>
      <c r="P26" s="446">
        <f t="shared" si="16"/>
        <v>0</v>
      </c>
      <c r="Q26" s="444">
        <f t="shared" ca="1" si="17"/>
        <v>20609.0597937981</v>
      </c>
    </row>
    <row r="27" spans="1:17" s="450" customFormat="1">
      <c r="A27" s="448" t="s">
        <v>553</v>
      </c>
      <c r="B27" s="748">
        <f t="shared" ca="1" si="2"/>
        <v>23.683996166476476</v>
      </c>
      <c r="C27" s="449">
        <f t="shared" ca="1" si="3"/>
        <v>0</v>
      </c>
      <c r="D27" s="449">
        <f t="shared" si="4"/>
        <v>35.973927409537652</v>
      </c>
      <c r="E27" s="449">
        <f t="shared" si="5"/>
        <v>77.102581387018446</v>
      </c>
      <c r="F27" s="449">
        <f t="shared" si="6"/>
        <v>0</v>
      </c>
      <c r="G27" s="449">
        <f t="shared" si="7"/>
        <v>35917.989437418553</v>
      </c>
      <c r="H27" s="449">
        <f t="shared" si="8"/>
        <v>7268.4907526338047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43323.240695015389</v>
      </c>
    </row>
    <row r="28" spans="1:17">
      <c r="A28" s="444" t="s">
        <v>543</v>
      </c>
      <c r="B28" s="445">
        <f t="shared" ca="1" si="2"/>
        <v>3.5333954525806113</v>
      </c>
      <c r="C28" s="445">
        <f t="shared" ca="1" si="3"/>
        <v>0</v>
      </c>
      <c r="D28" s="445">
        <f t="shared" si="4"/>
        <v>0</v>
      </c>
      <c r="E28" s="445">
        <f t="shared" si="5"/>
        <v>0</v>
      </c>
      <c r="F28" s="445">
        <f t="shared" si="6"/>
        <v>0</v>
      </c>
      <c r="G28" s="445">
        <f t="shared" si="7"/>
        <v>423.96947604522097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427.50287149780161</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164.9681233241719</v>
      </c>
      <c r="C32" s="445">
        <f t="shared" ca="1" si="3"/>
        <v>0</v>
      </c>
      <c r="D32" s="445">
        <f t="shared" si="4"/>
        <v>319.09858754081768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484.06671086498955</v>
      </c>
    </row>
    <row r="33" spans="1:17" s="454" customFormat="1">
      <c r="A33" s="999" t="s">
        <v>547</v>
      </c>
      <c r="B33" s="947">
        <f ca="1">SUM(B22:B32)</f>
        <v>19430.140043931518</v>
      </c>
      <c r="C33" s="947">
        <f t="shared" ref="C33:Q33" ca="1" si="18">SUM(C22:C32)</f>
        <v>47.837665618394595</v>
      </c>
      <c r="D33" s="947">
        <f t="shared" ca="1" si="18"/>
        <v>20188.729425577094</v>
      </c>
      <c r="E33" s="947">
        <f t="shared" si="18"/>
        <v>1255.9423887185089</v>
      </c>
      <c r="F33" s="947">
        <f t="shared" ca="1" si="18"/>
        <v>18262.278584215295</v>
      </c>
      <c r="G33" s="947">
        <f t="shared" si="18"/>
        <v>36341.958913463772</v>
      </c>
      <c r="H33" s="947">
        <f t="shared" si="18"/>
        <v>7268.4907526338047</v>
      </c>
      <c r="I33" s="947">
        <f t="shared" si="18"/>
        <v>0</v>
      </c>
      <c r="J33" s="947">
        <f t="shared" si="18"/>
        <v>178.46635208856623</v>
      </c>
      <c r="K33" s="947">
        <f t="shared" si="18"/>
        <v>0</v>
      </c>
      <c r="L33" s="947">
        <f t="shared" ca="1" si="18"/>
        <v>0</v>
      </c>
      <c r="M33" s="947">
        <f t="shared" si="18"/>
        <v>0</v>
      </c>
      <c r="N33" s="947">
        <f t="shared" ca="1" si="18"/>
        <v>0</v>
      </c>
      <c r="O33" s="947">
        <f t="shared" si="18"/>
        <v>0</v>
      </c>
      <c r="P33" s="947">
        <f t="shared" si="18"/>
        <v>0</v>
      </c>
      <c r="Q33" s="947">
        <f t="shared" ca="1" si="18"/>
        <v>102973.84412624694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193.49682045051193</v>
      </c>
      <c r="C5" s="1016"/>
      <c r="D5" s="1016"/>
      <c r="E5" s="1016"/>
      <c r="F5" s="1016"/>
      <c r="G5" s="1016"/>
      <c r="H5" s="1016"/>
      <c r="I5" s="1016"/>
      <c r="J5" s="1016"/>
      <c r="K5" s="1016"/>
      <c r="L5" s="1016"/>
      <c r="M5" s="1016"/>
      <c r="N5" s="1016"/>
      <c r="O5" s="1016"/>
      <c r="P5" s="1017">
        <f>'SEAP template'!Q73</f>
        <v>0</v>
      </c>
    </row>
    <row r="6" spans="1:16">
      <c r="A6" s="1018" t="s">
        <v>245</v>
      </c>
      <c r="B6" s="1016">
        <f>'SEAP template'!B74</f>
        <v>4809.3529098699682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40.582822085889568</v>
      </c>
      <c r="C8" s="1016">
        <f>'SEAP template'!C76</f>
        <v>148.41717791411043</v>
      </c>
      <c r="D8" s="1016">
        <f>'SEAP template'!D76</f>
        <v>174.6084446048358</v>
      </c>
      <c r="E8" s="1016">
        <f>'SEAP template'!E76</f>
        <v>0</v>
      </c>
      <c r="F8" s="1016">
        <f>'SEAP template'!F76</f>
        <v>0</v>
      </c>
      <c r="G8" s="1016">
        <f>'SEAP template'!G76</f>
        <v>0</v>
      </c>
      <c r="H8" s="1016">
        <f>'SEAP template'!H76</f>
        <v>0</v>
      </c>
      <c r="I8" s="1016">
        <f>'SEAP template'!I76</f>
        <v>47.744496571634784</v>
      </c>
      <c r="J8" s="1016">
        <f>'SEAP template'!J76</f>
        <v>0</v>
      </c>
      <c r="K8" s="1016">
        <f>'SEAP template'!K76</f>
        <v>0</v>
      </c>
      <c r="L8" s="1016">
        <f>'SEAP template'!L76</f>
        <v>0</v>
      </c>
      <c r="M8" s="1016">
        <f>'SEAP template'!M76</f>
        <v>0</v>
      </c>
      <c r="N8" s="1016">
        <f>'SEAP template'!N76</f>
        <v>0</v>
      </c>
      <c r="O8" s="1016">
        <f>'SEAP template'!O76</f>
        <v>0</v>
      </c>
      <c r="P8" s="1017">
        <f>'SEAP template'!Q76</f>
        <v>35.270905810176835</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5043.4325524063697</v>
      </c>
      <c r="C10" s="1020">
        <f>SUM(C4:C9)</f>
        <v>148.41717791411043</v>
      </c>
      <c r="D10" s="1020">
        <f t="shared" ref="D10:H10" si="0">SUM(D8:D9)</f>
        <v>174.6084446048358</v>
      </c>
      <c r="E10" s="1020">
        <f t="shared" si="0"/>
        <v>0</v>
      </c>
      <c r="F10" s="1020">
        <f t="shared" si="0"/>
        <v>0</v>
      </c>
      <c r="G10" s="1020">
        <f t="shared" si="0"/>
        <v>0</v>
      </c>
      <c r="H10" s="1020">
        <f t="shared" si="0"/>
        <v>0</v>
      </c>
      <c r="I10" s="1020">
        <f>SUM(I8:I9)</f>
        <v>47.744496571634784</v>
      </c>
      <c r="J10" s="1020">
        <f>SUM(J8:J9)</f>
        <v>0</v>
      </c>
      <c r="K10" s="1020">
        <f t="shared" ref="K10:L10" si="1">SUM(K8:K9)</f>
        <v>0</v>
      </c>
      <c r="L10" s="1020">
        <f t="shared" si="1"/>
        <v>0</v>
      </c>
      <c r="M10" s="1020">
        <f>SUM(M8:M9)</f>
        <v>0</v>
      </c>
      <c r="N10" s="1020">
        <f>SUM(N8:N9)</f>
        <v>0</v>
      </c>
      <c r="O10" s="1020">
        <f>SUM(O8:O9)</f>
        <v>0</v>
      </c>
      <c r="P10" s="1020">
        <f>SUM(P8:P9)</f>
        <v>35.270905810176835</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0.20903538813972547</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55.042177914110425</v>
      </c>
      <c r="C17" s="1022">
        <f>'SEAP template'!C87</f>
        <v>201.2971078001753</v>
      </c>
      <c r="D17" s="1017">
        <f>'SEAP template'!D87</f>
        <v>236.82012682373562</v>
      </c>
      <c r="E17" s="1017">
        <f>'SEAP template'!E87</f>
        <v>0</v>
      </c>
      <c r="F17" s="1017">
        <f>'SEAP template'!F87</f>
        <v>0</v>
      </c>
      <c r="G17" s="1017">
        <f>'SEAP template'!G87</f>
        <v>0</v>
      </c>
      <c r="H17" s="1017">
        <f>'SEAP template'!H87</f>
        <v>0</v>
      </c>
      <c r="I17" s="1017">
        <f>'SEAP template'!I87</f>
        <v>64.755503428365202</v>
      </c>
      <c r="J17" s="1017">
        <f>'SEAP template'!J87</f>
        <v>0</v>
      </c>
      <c r="K17" s="1017">
        <f>'SEAP template'!K87</f>
        <v>0</v>
      </c>
      <c r="L17" s="1017">
        <f>'SEAP template'!L87</f>
        <v>0</v>
      </c>
      <c r="M17" s="1017">
        <f>'SEAP template'!M87</f>
        <v>0</v>
      </c>
      <c r="N17" s="1017">
        <f>'SEAP template'!N87</f>
        <v>0</v>
      </c>
      <c r="O17" s="1017">
        <f>'SEAP template'!O87</f>
        <v>0</v>
      </c>
      <c r="P17" s="1017">
        <f>'SEAP template'!Q87</f>
        <v>47.837665618394595</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55.042177914110425</v>
      </c>
      <c r="C20" s="1020">
        <f>SUM(C17:C19)</f>
        <v>201.2971078001753</v>
      </c>
      <c r="D20" s="1020">
        <f t="shared" ref="D20:H20" si="2">SUM(D17:D19)</f>
        <v>236.82012682373562</v>
      </c>
      <c r="E20" s="1020">
        <f t="shared" si="2"/>
        <v>0</v>
      </c>
      <c r="F20" s="1020">
        <f t="shared" si="2"/>
        <v>0</v>
      </c>
      <c r="G20" s="1020">
        <f t="shared" si="2"/>
        <v>0</v>
      </c>
      <c r="H20" s="1020">
        <f t="shared" si="2"/>
        <v>0</v>
      </c>
      <c r="I20" s="1020">
        <f>SUM(I17:I19)</f>
        <v>64.755503428365202</v>
      </c>
      <c r="J20" s="1020">
        <f>SUM(J17:J19)</f>
        <v>0</v>
      </c>
      <c r="K20" s="1020">
        <f t="shared" ref="K20:L20" si="3">SUM(K17:K19)</f>
        <v>0</v>
      </c>
      <c r="L20" s="1020">
        <f t="shared" si="3"/>
        <v>0</v>
      </c>
      <c r="M20" s="1020">
        <f>SUM(M17:M19)</f>
        <v>0</v>
      </c>
      <c r="N20" s="1020">
        <f>SUM(N17:N19)</f>
        <v>0</v>
      </c>
      <c r="O20" s="1020">
        <f>SUM(O17:O19)</f>
        <v>0</v>
      </c>
      <c r="P20" s="1020">
        <f>SUM(P17:P19)</f>
        <v>47.837665618394595</v>
      </c>
    </row>
    <row r="22" spans="1:16">
      <c r="A22" s="455" t="s">
        <v>833</v>
      </c>
      <c r="B22" s="754" t="s">
        <v>827</v>
      </c>
      <c r="C22" s="754">
        <f ca="1">'EF ele_warmte'!B22</f>
        <v>0.18661854926019486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0.20903538813972547</v>
      </c>
      <c r="C17" s="492">
        <f ca="1">'EF ele_warmte'!B22</f>
        <v>0.18661854926019486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0.20903538813972547</v>
      </c>
      <c r="C17" s="492">
        <f ca="1">'EF ele_warmte'!B22</f>
        <v>0.18661854926019486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0.20903538813972547</v>
      </c>
      <c r="C29" s="493">
        <f ca="1">'EF ele_warmte'!B22</f>
        <v>0.18661854926019486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6527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939.1</v>
      </c>
      <c r="C14" s="324"/>
      <c r="D14" s="324"/>
      <c r="E14" s="324"/>
      <c r="F14" s="324"/>
    </row>
    <row r="15" spans="1:6">
      <c r="A15" s="1291" t="s">
        <v>183</v>
      </c>
      <c r="B15" s="1292">
        <v>1</v>
      </c>
      <c r="C15" s="324"/>
      <c r="D15" s="324"/>
      <c r="E15" s="324"/>
      <c r="F15" s="324"/>
    </row>
    <row r="16" spans="1:6">
      <c r="A16" s="1291" t="s">
        <v>6</v>
      </c>
      <c r="B16" s="1292">
        <v>0</v>
      </c>
      <c r="C16" s="324"/>
      <c r="D16" s="324"/>
      <c r="E16" s="324"/>
      <c r="F16" s="324"/>
    </row>
    <row r="17" spans="1:6">
      <c r="A17" s="1291" t="s">
        <v>7</v>
      </c>
      <c r="B17" s="1292">
        <v>26</v>
      </c>
      <c r="C17" s="324"/>
      <c r="D17" s="324"/>
      <c r="E17" s="324"/>
      <c r="F17" s="324"/>
    </row>
    <row r="18" spans="1:6">
      <c r="A18" s="1291" t="s">
        <v>8</v>
      </c>
      <c r="B18" s="1292">
        <v>16</v>
      </c>
      <c r="C18" s="324"/>
      <c r="D18" s="324"/>
      <c r="E18" s="324"/>
      <c r="F18" s="324"/>
    </row>
    <row r="19" spans="1:6">
      <c r="A19" s="1291" t="s">
        <v>9</v>
      </c>
      <c r="B19" s="1292">
        <v>21</v>
      </c>
      <c r="C19" s="324"/>
      <c r="D19" s="324"/>
      <c r="E19" s="324"/>
      <c r="F19" s="324"/>
    </row>
    <row r="20" spans="1:6">
      <c r="A20" s="1291" t="s">
        <v>10</v>
      </c>
      <c r="B20" s="1292">
        <v>135</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272</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54</v>
      </c>
      <c r="C29" s="330"/>
      <c r="D29" s="330"/>
      <c r="E29" s="330"/>
      <c r="F29" s="330"/>
    </row>
    <row r="30" spans="1:6">
      <c r="A30" s="1286" t="s">
        <v>723</v>
      </c>
      <c r="B30" s="1295">
        <v>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23584.509309436198</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2094.9598488891002</v>
      </c>
    </row>
    <row r="39" spans="1:6">
      <c r="A39" s="1291" t="s">
        <v>29</v>
      </c>
      <c r="B39" s="1291" t="s">
        <v>30</v>
      </c>
      <c r="C39" s="1292">
        <v>2966</v>
      </c>
      <c r="D39" s="1292">
        <v>51055806.042686902</v>
      </c>
      <c r="E39" s="1292">
        <v>6386</v>
      </c>
      <c r="F39" s="1292">
        <v>25985579.990814801</v>
      </c>
    </row>
    <row r="40" spans="1:6">
      <c r="A40" s="1291" t="s">
        <v>29</v>
      </c>
      <c r="B40" s="1291" t="s">
        <v>28</v>
      </c>
      <c r="C40" s="1292">
        <v>0</v>
      </c>
      <c r="D40" s="1292">
        <v>0</v>
      </c>
      <c r="E40" s="1292">
        <v>0</v>
      </c>
      <c r="F40" s="1292">
        <v>0</v>
      </c>
    </row>
    <row r="41" spans="1:6">
      <c r="A41" s="1291" t="s">
        <v>31</v>
      </c>
      <c r="B41" s="1291" t="s">
        <v>32</v>
      </c>
      <c r="C41" s="1292">
        <v>19</v>
      </c>
      <c r="D41" s="1292">
        <v>341740.55373810203</v>
      </c>
      <c r="E41" s="1292">
        <v>96</v>
      </c>
      <c r="F41" s="1292">
        <v>1600150.1217650599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41134.800005450503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22602.3454062448</v>
      </c>
    </row>
    <row r="48" spans="1:6">
      <c r="A48" s="1291" t="s">
        <v>31</v>
      </c>
      <c r="B48" s="1291" t="s">
        <v>28</v>
      </c>
      <c r="C48" s="1292">
        <v>43</v>
      </c>
      <c r="D48" s="1292">
        <v>41571026.419934697</v>
      </c>
      <c r="E48" s="1292">
        <v>61</v>
      </c>
      <c r="F48" s="1292">
        <v>44152545.790769503</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14</v>
      </c>
      <c r="F51" s="1292">
        <v>474236.62242426199</v>
      </c>
    </row>
    <row r="52" spans="1:6">
      <c r="A52" s="1291" t="s">
        <v>41</v>
      </c>
      <c r="B52" s="1291" t="s">
        <v>28</v>
      </c>
      <c r="C52" s="1292">
        <v>5</v>
      </c>
      <c r="D52" s="1292">
        <v>137257.094516868</v>
      </c>
      <c r="E52" s="1292">
        <v>18</v>
      </c>
      <c r="F52" s="1292">
        <v>150398.60440469801</v>
      </c>
    </row>
    <row r="53" spans="1:6">
      <c r="A53" s="1291" t="s">
        <v>43</v>
      </c>
      <c r="B53" s="1291" t="s">
        <v>44</v>
      </c>
      <c r="C53" s="1292">
        <v>80</v>
      </c>
      <c r="D53" s="1292">
        <v>1579695.9779248401</v>
      </c>
      <c r="E53" s="1292">
        <v>216</v>
      </c>
      <c r="F53" s="1292">
        <v>789187.538015823</v>
      </c>
    </row>
    <row r="54" spans="1:6">
      <c r="A54" s="1291" t="s">
        <v>45</v>
      </c>
      <c r="B54" s="1291" t="s">
        <v>46</v>
      </c>
      <c r="C54" s="1292">
        <v>0</v>
      </c>
      <c r="D54" s="1292">
        <v>0</v>
      </c>
      <c r="E54" s="1292">
        <v>1</v>
      </c>
      <c r="F54" s="1292">
        <v>699431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19</v>
      </c>
      <c r="D57" s="1292">
        <v>1740066.1893474399</v>
      </c>
      <c r="E57" s="1292">
        <v>74</v>
      </c>
      <c r="F57" s="1292">
        <v>1757661.6725127299</v>
      </c>
    </row>
    <row r="58" spans="1:6">
      <c r="A58" s="1291" t="s">
        <v>48</v>
      </c>
      <c r="B58" s="1291" t="s">
        <v>50</v>
      </c>
      <c r="C58" s="1292">
        <v>10</v>
      </c>
      <c r="D58" s="1292">
        <v>230884.13059203699</v>
      </c>
      <c r="E58" s="1292">
        <v>22</v>
      </c>
      <c r="F58" s="1292">
        <v>182958.70987504401</v>
      </c>
    </row>
    <row r="59" spans="1:6">
      <c r="A59" s="1291" t="s">
        <v>48</v>
      </c>
      <c r="B59" s="1291" t="s">
        <v>51</v>
      </c>
      <c r="C59" s="1292">
        <v>17</v>
      </c>
      <c r="D59" s="1292">
        <v>641847.616646223</v>
      </c>
      <c r="E59" s="1292">
        <v>60</v>
      </c>
      <c r="F59" s="1292">
        <v>1377866.48468873</v>
      </c>
    </row>
    <row r="60" spans="1:6">
      <c r="A60" s="1291" t="s">
        <v>48</v>
      </c>
      <c r="B60" s="1291" t="s">
        <v>52</v>
      </c>
      <c r="C60" s="1292">
        <v>25</v>
      </c>
      <c r="D60" s="1292">
        <v>1296406.38111775</v>
      </c>
      <c r="E60" s="1292">
        <v>43</v>
      </c>
      <c r="F60" s="1292">
        <v>802182.53357203398</v>
      </c>
    </row>
    <row r="61" spans="1:6">
      <c r="A61" s="1291" t="s">
        <v>48</v>
      </c>
      <c r="B61" s="1291" t="s">
        <v>53</v>
      </c>
      <c r="C61" s="1292">
        <v>38</v>
      </c>
      <c r="D61" s="1292">
        <v>2125394.5877387598</v>
      </c>
      <c r="E61" s="1292">
        <v>220</v>
      </c>
      <c r="F61" s="1292">
        <v>1902285.14193759</v>
      </c>
    </row>
    <row r="62" spans="1:6">
      <c r="A62" s="1291" t="s">
        <v>48</v>
      </c>
      <c r="B62" s="1291" t="s">
        <v>54</v>
      </c>
      <c r="C62" s="1292">
        <v>3</v>
      </c>
      <c r="D62" s="1292">
        <v>53411.445606771798</v>
      </c>
      <c r="E62" s="1292">
        <v>4</v>
      </c>
      <c r="F62" s="1292">
        <v>34644.094164578499</v>
      </c>
    </row>
    <row r="63" spans="1:6">
      <c r="A63" s="1291" t="s">
        <v>48</v>
      </c>
      <c r="B63" s="1291" t="s">
        <v>28</v>
      </c>
      <c r="C63" s="1292">
        <v>177</v>
      </c>
      <c r="D63" s="1292">
        <v>10116413.330830401</v>
      </c>
      <c r="E63" s="1292">
        <v>242</v>
      </c>
      <c r="F63" s="1292">
        <v>8749201.1905789506</v>
      </c>
    </row>
    <row r="64" spans="1:6">
      <c r="A64" s="1291" t="s">
        <v>55</v>
      </c>
      <c r="B64" s="1291" t="s">
        <v>56</v>
      </c>
      <c r="C64" s="1292">
        <v>0</v>
      </c>
      <c r="D64" s="1292">
        <v>0</v>
      </c>
      <c r="E64" s="1292">
        <v>0</v>
      </c>
      <c r="F64" s="1292">
        <v>0</v>
      </c>
    </row>
    <row r="65" spans="1:6">
      <c r="A65" s="1291" t="s">
        <v>55</v>
      </c>
      <c r="B65" s="1291" t="s">
        <v>28</v>
      </c>
      <c r="C65" s="1292">
        <v>1</v>
      </c>
      <c r="D65" s="1292">
        <v>28666.2807021884</v>
      </c>
      <c r="E65" s="1292">
        <v>7</v>
      </c>
      <c r="F65" s="1292">
        <v>134479.78954962801</v>
      </c>
    </row>
    <row r="66" spans="1:6">
      <c r="A66" s="1291" t="s">
        <v>55</v>
      </c>
      <c r="B66" s="1291" t="s">
        <v>57</v>
      </c>
      <c r="C66" s="1292">
        <v>0</v>
      </c>
      <c r="D66" s="1292">
        <v>0</v>
      </c>
      <c r="E66" s="1292">
        <v>4</v>
      </c>
      <c r="F66" s="1292">
        <v>41050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85019848</v>
      </c>
      <c r="E73" s="443"/>
      <c r="F73" s="324"/>
    </row>
    <row r="74" spans="1:6">
      <c r="A74" s="1291" t="s">
        <v>63</v>
      </c>
      <c r="B74" s="1291" t="s">
        <v>648</v>
      </c>
      <c r="C74" s="1305" t="s">
        <v>650</v>
      </c>
      <c r="D74" s="1306">
        <v>5431085</v>
      </c>
      <c r="E74" s="443"/>
      <c r="F74" s="324"/>
    </row>
    <row r="75" spans="1:6">
      <c r="A75" s="1291" t="s">
        <v>64</v>
      </c>
      <c r="B75" s="1291" t="s">
        <v>647</v>
      </c>
      <c r="C75" s="1305" t="s">
        <v>651</v>
      </c>
      <c r="D75" s="1306">
        <v>23794720</v>
      </c>
      <c r="E75" s="443"/>
      <c r="F75" s="324"/>
    </row>
    <row r="76" spans="1:6">
      <c r="A76" s="1291" t="s">
        <v>64</v>
      </c>
      <c r="B76" s="1291" t="s">
        <v>648</v>
      </c>
      <c r="C76" s="1305" t="s">
        <v>652</v>
      </c>
      <c r="D76" s="1306">
        <v>247515</v>
      </c>
      <c r="E76" s="443"/>
      <c r="F76" s="324"/>
    </row>
    <row r="77" spans="1:6">
      <c r="A77" s="1291" t="s">
        <v>65</v>
      </c>
      <c r="B77" s="1291" t="s">
        <v>647</v>
      </c>
      <c r="C77" s="1305" t="s">
        <v>653</v>
      </c>
      <c r="D77" s="1306">
        <v>91891175</v>
      </c>
      <c r="E77" s="443"/>
      <c r="F77" s="324"/>
    </row>
    <row r="78" spans="1:6">
      <c r="A78" s="1286" t="s">
        <v>65</v>
      </c>
      <c r="B78" s="1286" t="s">
        <v>648</v>
      </c>
      <c r="C78" s="1286" t="s">
        <v>654</v>
      </c>
      <c r="D78" s="1307">
        <v>9643416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461356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193.49682045051193</v>
      </c>
      <c r="C89" s="324"/>
      <c r="D89" s="324"/>
      <c r="E89" s="324"/>
      <c r="F89" s="324"/>
    </row>
    <row r="90" spans="1:6">
      <c r="A90" s="1291" t="s">
        <v>541</v>
      </c>
      <c r="B90" s="1292">
        <v>0</v>
      </c>
      <c r="C90" s="324"/>
      <c r="D90" s="324"/>
      <c r="E90" s="324"/>
      <c r="F90" s="324"/>
    </row>
    <row r="91" spans="1:6">
      <c r="A91" s="1291" t="s">
        <v>67</v>
      </c>
      <c r="B91" s="1292">
        <v>3910.1672419272918</v>
      </c>
      <c r="C91" s="324"/>
      <c r="D91" s="324"/>
      <c r="E91" s="324"/>
      <c r="F91" s="324"/>
    </row>
    <row r="92" spans="1:6">
      <c r="A92" s="1286" t="s">
        <v>68</v>
      </c>
      <c r="B92" s="1287">
        <v>899.18566794267633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1003</v>
      </c>
      <c r="C97" s="324"/>
      <c r="D97" s="324"/>
      <c r="E97" s="324"/>
      <c r="F97" s="324"/>
    </row>
    <row r="98" spans="1:6">
      <c r="A98" s="1291" t="s">
        <v>71</v>
      </c>
      <c r="B98" s="1292">
        <v>4</v>
      </c>
      <c r="C98" s="324"/>
      <c r="D98" s="324"/>
      <c r="E98" s="324"/>
      <c r="F98" s="324"/>
    </row>
    <row r="99" spans="1:6">
      <c r="A99" s="1291" t="s">
        <v>72</v>
      </c>
      <c r="B99" s="1292">
        <v>252</v>
      </c>
      <c r="C99" s="324"/>
      <c r="D99" s="324"/>
      <c r="E99" s="324"/>
      <c r="F99" s="324"/>
    </row>
    <row r="100" spans="1:6">
      <c r="A100" s="1291" t="s">
        <v>73</v>
      </c>
      <c r="B100" s="1292">
        <v>479</v>
      </c>
      <c r="C100" s="324"/>
      <c r="D100" s="324"/>
      <c r="E100" s="324"/>
      <c r="F100" s="324"/>
    </row>
    <row r="101" spans="1:6">
      <c r="A101" s="1291" t="s">
        <v>74</v>
      </c>
      <c r="B101" s="1292">
        <v>73</v>
      </c>
      <c r="C101" s="324"/>
      <c r="D101" s="324"/>
      <c r="E101" s="324"/>
      <c r="F101" s="324"/>
    </row>
    <row r="102" spans="1:6">
      <c r="A102" s="1291" t="s">
        <v>75</v>
      </c>
      <c r="B102" s="1292">
        <v>50</v>
      </c>
      <c r="C102" s="324"/>
      <c r="D102" s="324"/>
      <c r="E102" s="324"/>
      <c r="F102" s="324"/>
    </row>
    <row r="103" spans="1:6">
      <c r="A103" s="1291" t="s">
        <v>76</v>
      </c>
      <c r="B103" s="1292">
        <v>111</v>
      </c>
      <c r="C103" s="324"/>
      <c r="D103" s="324"/>
      <c r="E103" s="324"/>
      <c r="F103" s="324"/>
    </row>
    <row r="104" spans="1:6">
      <c r="A104" s="1291" t="s">
        <v>77</v>
      </c>
      <c r="B104" s="1292">
        <v>3569</v>
      </c>
      <c r="C104" s="324"/>
      <c r="D104" s="324"/>
      <c r="E104" s="324"/>
      <c r="F104" s="324"/>
    </row>
    <row r="105" spans="1:6">
      <c r="A105" s="1286" t="s">
        <v>78</v>
      </c>
      <c r="B105" s="1295">
        <v>16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0</v>
      </c>
      <c r="C122" s="1292">
        <v>0</v>
      </c>
      <c r="D122" s="324"/>
      <c r="E122" s="324"/>
      <c r="F122" s="324"/>
    </row>
    <row r="123" spans="1:6">
      <c r="A123" s="1291" t="s">
        <v>87</v>
      </c>
      <c r="B123" s="1292">
        <v>69</v>
      </c>
      <c r="C123" s="1292">
        <v>42</v>
      </c>
      <c r="D123" s="324"/>
      <c r="E123" s="324"/>
      <c r="F123" s="324"/>
    </row>
    <row r="124" spans="1:6" s="43" customFormat="1">
      <c r="A124" s="1293" t="s">
        <v>88</v>
      </c>
      <c r="B124" s="1314">
        <v>2</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211</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35</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92951.438590598031</v>
      </c>
      <c r="C3" s="43" t="s">
        <v>169</v>
      </c>
      <c r="D3" s="43"/>
      <c r="E3" s="154"/>
      <c r="F3" s="43"/>
      <c r="G3" s="43"/>
      <c r="H3" s="43"/>
      <c r="I3" s="43"/>
      <c r="J3" s="43"/>
      <c r="K3" s="96"/>
    </row>
    <row r="4" spans="1:11">
      <c r="A4" s="352" t="s">
        <v>170</v>
      </c>
      <c r="B4" s="49">
        <f>IF(ISERROR('SEAP template'!B78+'SEAP template'!C78),0,'SEAP template'!B78+'SEAP template'!C78)</f>
        <v>5191.8497303204804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35.270905810176835</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0.20903538813972547</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47.837665618394595</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256.33928571428572</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0.18661854926019486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699.43100000000004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699.43100000000004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0.20903538813972547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146.20583056195633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25985.5799908148</v>
      </c>
      <c r="C5" s="17">
        <f>IF(ISERROR('Eigen informatie GS &amp; warmtenet'!B57),0,'Eigen informatie GS &amp; warmtenet'!B57)</f>
        <v>0</v>
      </c>
      <c r="D5" s="30">
        <f>(SUM(HH_hh_gas_kWh,HH_rest_gas_kWh)/1000)*0.902</f>
        <v>46052.337050503593</v>
      </c>
      <c r="E5" s="17">
        <f>B32*B41</f>
        <v>2095.9265329583995</v>
      </c>
      <c r="F5" s="17">
        <f>B36*B45</f>
        <v>53101.383314600345</v>
      </c>
      <c r="G5" s="18"/>
      <c r="H5" s="17"/>
      <c r="I5" s="17"/>
      <c r="J5" s="17">
        <f>B35*B44+C35*C44</f>
        <v>255.51789900180427</v>
      </c>
      <c r="K5" s="17"/>
      <c r="L5" s="17"/>
      <c r="M5" s="17"/>
      <c r="N5" s="17">
        <f>B34*B43+C34*C43</f>
        <v>10054.901228706874</v>
      </c>
      <c r="O5" s="17">
        <f>B52*B53*B54</f>
        <v>395.52333333333337</v>
      </c>
      <c r="P5" s="17">
        <f>B60*B61*B62/1000-B60*B61*B62/1000/B63</f>
        <v>2021.0666666666666</v>
      </c>
    </row>
    <row r="6" spans="1:16">
      <c r="A6" s="16" t="s">
        <v>613</v>
      </c>
      <c r="B6" s="756">
        <f>kWh_PV_kleiner_dan_10kW</f>
        <v>3910.1672419272918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29895.747232742091</v>
      </c>
      <c r="C8" s="21">
        <f>C5</f>
        <v>0</v>
      </c>
      <c r="D8" s="21">
        <f>D5</f>
        <v>46052.337050503593</v>
      </c>
      <c r="E8" s="21">
        <f>E5</f>
        <v>2095.9265329583995</v>
      </c>
      <c r="F8" s="21">
        <f>F5</f>
        <v>53101.383314600345</v>
      </c>
      <c r="G8" s="21"/>
      <c r="H8" s="21"/>
      <c r="I8" s="21"/>
      <c r="J8" s="21">
        <f>J5</f>
        <v>255.51789900180427</v>
      </c>
      <c r="K8" s="21"/>
      <c r="L8" s="21">
        <f>L5</f>
        <v>0</v>
      </c>
      <c r="M8" s="21">
        <f>M5</f>
        <v>0</v>
      </c>
      <c r="N8" s="21">
        <f>N5</f>
        <v>10054.901228706874</v>
      </c>
      <c r="O8" s="21">
        <f>O5</f>
        <v>395.52333333333337</v>
      </c>
      <c r="P8" s="21">
        <f>P5</f>
        <v>2021.0666666666666</v>
      </c>
    </row>
    <row r="9" spans="1:16">
      <c r="B9" s="19"/>
      <c r="C9" s="19"/>
      <c r="D9" s="254"/>
      <c r="E9" s="19"/>
      <c r="F9" s="19"/>
      <c r="G9" s="19"/>
      <c r="H9" s="19"/>
      <c r="I9" s="19"/>
      <c r="J9" s="19"/>
      <c r="K9" s="19"/>
      <c r="L9" s="19"/>
      <c r="M9" s="19"/>
      <c r="N9" s="19"/>
      <c r="O9" s="19"/>
      <c r="P9" s="19"/>
    </row>
    <row r="10" spans="1:16">
      <c r="A10" s="24" t="s">
        <v>213</v>
      </c>
      <c r="B10" s="25">
        <f ca="1">'EF ele_warmte'!B12</f>
        <v>0.20903538813972547</v>
      </c>
      <c r="C10" s="25">
        <f ca="1">'EF ele_warmte'!B22</f>
        <v>0.18661854926019486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6249.269126523367</v>
      </c>
      <c r="C12" s="23">
        <f ca="1">C10*C8</f>
        <v>0</v>
      </c>
      <c r="D12" s="23">
        <f>D8*D10</f>
        <v>9302.5720842017272</v>
      </c>
      <c r="E12" s="23">
        <f>E10*E8</f>
        <v>475.77532298155671</v>
      </c>
      <c r="F12" s="23">
        <f>F10*F8</f>
        <v>14178.069344998294</v>
      </c>
      <c r="G12" s="23"/>
      <c r="H12" s="23"/>
      <c r="I12" s="23"/>
      <c r="J12" s="23">
        <f>J10*J8</f>
        <v>90.453336246638699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6527</v>
      </c>
      <c r="C26" s="36"/>
      <c r="D26" s="225"/>
    </row>
    <row r="27" spans="1:5" s="15" customFormat="1">
      <c r="A27" s="227" t="s">
        <v>768</v>
      </c>
      <c r="B27" s="37">
        <f>SUM(HH_hh_gas_aantal,HH_rest_gas_aantal)</f>
        <v>2966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2817.7</v>
      </c>
      <c r="C31" s="34" t="s">
        <v>110</v>
      </c>
      <c r="D31" s="171"/>
    </row>
    <row r="32" spans="1:5">
      <c r="A32" s="168" t="s">
        <v>72</v>
      </c>
      <c r="B32" s="33">
        <f>IF((B21*($B$26-($B$27-0.05*$B$27)-$B$60))&lt;0,0,B21*($B$26-($B$27-0.05*$B$27)-$B$60))</f>
        <v>39.638081108985986</v>
      </c>
      <c r="C32" s="34" t="s">
        <v>110</v>
      </c>
      <c r="D32" s="171"/>
    </row>
    <row r="33" spans="1:6">
      <c r="A33" s="168" t="s">
        <v>73</v>
      </c>
      <c r="B33" s="33">
        <f>IF((B22*($B$26-($B$27-0.05*$B$27)-$B$60))&lt;0,0,B22*($B$26-($B$27-0.05*$B$27)-$B$60))</f>
        <v>824.10899309878732</v>
      </c>
      <c r="C33" s="34" t="s">
        <v>110</v>
      </c>
      <c r="D33" s="171"/>
    </row>
    <row r="34" spans="1:6">
      <c r="A34" s="168" t="s">
        <v>74</v>
      </c>
      <c r="B34" s="33">
        <f>IF((B24*($B$26-($B$27-0.05*$B$27)-$B$60))&lt;0,0,B24*($B$26-($B$27-0.05*$B$27)-$B$60))</f>
        <v>163.88598219101951</v>
      </c>
      <c r="C34" s="33">
        <f>B26*C24</f>
        <v>1336.0478687620046</v>
      </c>
      <c r="D34" s="230"/>
    </row>
    <row r="35" spans="1:6">
      <c r="A35" s="168" t="s">
        <v>76</v>
      </c>
      <c r="B35" s="33">
        <f>IF((B19*($B$26-($B$27-0.05*$B$27)-$B$60))&lt;0,0,B19*($B$26-($B$27-0.05*$B$27)-$B$60))</f>
        <v>30.001753198362188</v>
      </c>
      <c r="C35" s="33">
        <f>B35/2</f>
        <v>15.000876599181094</v>
      </c>
      <c r="D35" s="230"/>
    </row>
    <row r="36" spans="1:6">
      <c r="A36" s="168" t="s">
        <v>77</v>
      </c>
      <c r="B36" s="33">
        <f>IF((B18*($B$26-($B$27-0.05*$B$27)-$B$60))&lt;0,0,B18*($B$26-($B$27-0.05*$B$27)-$B$60))</f>
        <v>2545.6651904028454</v>
      </c>
      <c r="C36" s="34" t="s">
        <v>110</v>
      </c>
      <c r="D36" s="171"/>
    </row>
    <row r="37" spans="1:6">
      <c r="A37" s="168" t="s">
        <v>78</v>
      </c>
      <c r="B37" s="33">
        <f>B60</f>
        <v>106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253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106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14806.799827329658</v>
      </c>
      <c r="C5" s="17">
        <f>IF(ISERROR('Eigen informatie GS &amp; warmtenet'!B58),0,'Eigen informatie GS &amp; warmtenet'!B58)</f>
        <v>0</v>
      </c>
      <c r="D5" s="30">
        <f>SUM(D6:D12)</f>
        <v>14616.390161055202</v>
      </c>
      <c r="E5" s="17">
        <f>SUM(E6:E12)</f>
        <v>172.75076522714608</v>
      </c>
      <c r="F5" s="17">
        <f>SUM(F6:F12)</f>
        <v>2658.9187769111631</v>
      </c>
      <c r="G5" s="18"/>
      <c r="H5" s="17"/>
      <c r="I5" s="17"/>
      <c r="J5" s="17">
        <f>SUM(J6:J12)</f>
        <v>5.9338356549098623E-2</v>
      </c>
      <c r="K5" s="17"/>
      <c r="L5" s="17"/>
      <c r="M5" s="17"/>
      <c r="N5" s="17">
        <f>SUM(N6:N12)</f>
        <v>2346.6402011447708</v>
      </c>
      <c r="O5" s="17">
        <f>B38*B39*B40</f>
        <v>1.5633333333333335</v>
      </c>
      <c r="P5" s="17">
        <f>B46*B47*B48/1000-B46*B47*B48/1000/B49</f>
        <v>19.066666666666666</v>
      </c>
      <c r="R5" s="32"/>
    </row>
    <row r="6" spans="1:18">
      <c r="A6" s="32" t="s">
        <v>53</v>
      </c>
      <c r="B6" s="37">
        <f>B26</f>
        <v>1902.28514193759</v>
      </c>
      <c r="C6" s="33"/>
      <c r="D6" s="37">
        <f>IF(ISERROR(TER_kantoor_gas_kWh/1000),0,TER_kantoor_gas_kWh/1000)*0.902</f>
        <v>1917.1059181403616</v>
      </c>
      <c r="E6" s="33">
        <f>$C$26*'E Balans VL '!I12/100/3.6*1000000</f>
        <v>1.1922890579538589E-2</v>
      </c>
      <c r="F6" s="33">
        <f>$C$26*('E Balans VL '!L12+'E Balans VL '!N12)/100/3.6*1000000</f>
        <v>285.86030191676969</v>
      </c>
      <c r="G6" s="34"/>
      <c r="H6" s="33"/>
      <c r="I6" s="33"/>
      <c r="J6" s="33">
        <f>$C$26*('E Balans VL '!D12+'E Balans VL '!E12)/100/3.6*1000000</f>
        <v>0</v>
      </c>
      <c r="K6" s="33"/>
      <c r="L6" s="33"/>
      <c r="M6" s="33"/>
      <c r="N6" s="33">
        <f>$C$26*'E Balans VL '!Y12/100/3.6*1000000</f>
        <v>1.8192536935382493</v>
      </c>
      <c r="O6" s="33"/>
      <c r="P6" s="33"/>
      <c r="R6" s="32"/>
    </row>
    <row r="7" spans="1:18">
      <c r="A7" s="32" t="s">
        <v>52</v>
      </c>
      <c r="B7" s="37">
        <f t="shared" ref="B7:B12" si="0">B27</f>
        <v>802.182533572034</v>
      </c>
      <c r="C7" s="33"/>
      <c r="D7" s="37">
        <f>IF(ISERROR(TER_horeca_gas_kWh/1000),0,TER_horeca_gas_kWh/1000)*0.902</f>
        <v>1169.3585557682106</v>
      </c>
      <c r="E7" s="33">
        <f>$C$27*'E Balans VL '!I9/100/3.6*1000000</f>
        <v>11.48712026264888</v>
      </c>
      <c r="F7" s="33">
        <f>$C$27*('E Balans VL '!L9+'E Balans VL '!N9)/100/3.6*1000000</f>
        <v>101.58276574945546</v>
      </c>
      <c r="G7" s="34"/>
      <c r="H7" s="33"/>
      <c r="I7" s="33"/>
      <c r="J7" s="33">
        <f>$C$27*('E Balans VL '!D9+'E Balans VL '!E9)/100/3.6*1000000</f>
        <v>0</v>
      </c>
      <c r="K7" s="33"/>
      <c r="L7" s="33"/>
      <c r="M7" s="33"/>
      <c r="N7" s="33">
        <f>$C$27*'E Balans VL '!Y9/100/3.6*1000000</f>
        <v>0.23060979179530697</v>
      </c>
      <c r="O7" s="33"/>
      <c r="P7" s="33"/>
      <c r="R7" s="32"/>
    </row>
    <row r="8" spans="1:18">
      <c r="A8" s="6" t="s">
        <v>51</v>
      </c>
      <c r="B8" s="37">
        <f t="shared" si="0"/>
        <v>1377.86648468873</v>
      </c>
      <c r="C8" s="33"/>
      <c r="D8" s="37">
        <f>IF(ISERROR(TER_handel_gas_kWh/1000),0,TER_handel_gas_kWh/1000)*0.902</f>
        <v>578.94655021489325</v>
      </c>
      <c r="E8" s="33">
        <f>$C$28*'E Balans VL '!I13/100/3.6*1000000</f>
        <v>49.975047488777612</v>
      </c>
      <c r="F8" s="33">
        <f>$C$28*('E Balans VL '!L13+'E Balans VL '!N13)/100/3.6*1000000</f>
        <v>265.39103673623373</v>
      </c>
      <c r="G8" s="34"/>
      <c r="H8" s="33"/>
      <c r="I8" s="33"/>
      <c r="J8" s="33">
        <f>$C$28*('E Balans VL '!D13+'E Balans VL '!E13)/100/3.6*1000000</f>
        <v>0</v>
      </c>
      <c r="K8" s="33"/>
      <c r="L8" s="33"/>
      <c r="M8" s="33"/>
      <c r="N8" s="33">
        <f>$C$28*'E Balans VL '!Y13/100/3.6*1000000</f>
        <v>1.9086621142327727</v>
      </c>
      <c r="O8" s="33"/>
      <c r="P8" s="33"/>
      <c r="R8" s="32"/>
    </row>
    <row r="9" spans="1:18">
      <c r="A9" s="32" t="s">
        <v>50</v>
      </c>
      <c r="B9" s="37">
        <f t="shared" si="0"/>
        <v>182.95870987504401</v>
      </c>
      <c r="C9" s="33"/>
      <c r="D9" s="37">
        <f>IF(ISERROR(TER_gezond_gas_kWh/1000),0,TER_gezond_gas_kWh/1000)*0.902</f>
        <v>208.25748579401738</v>
      </c>
      <c r="E9" s="33">
        <f>$C$29*'E Balans VL '!I10/100/3.6*1000000</f>
        <v>1.1455021629094382E-2</v>
      </c>
      <c r="F9" s="33">
        <f>$C$29*('E Balans VL '!L10+'E Balans VL '!N10)/100/3.6*1000000</f>
        <v>27.179073408158125</v>
      </c>
      <c r="G9" s="34"/>
      <c r="H9" s="33"/>
      <c r="I9" s="33"/>
      <c r="J9" s="33">
        <f>$C$29*('E Balans VL '!D10+'E Balans VL '!E10)/100/3.6*1000000</f>
        <v>0</v>
      </c>
      <c r="K9" s="33"/>
      <c r="L9" s="33"/>
      <c r="M9" s="33"/>
      <c r="N9" s="33">
        <f>$C$29*'E Balans VL '!Y10/100/3.6*1000000</f>
        <v>2.8300229783536159</v>
      </c>
      <c r="O9" s="33"/>
      <c r="P9" s="33"/>
      <c r="R9" s="32"/>
    </row>
    <row r="10" spans="1:18">
      <c r="A10" s="32" t="s">
        <v>49</v>
      </c>
      <c r="B10" s="37">
        <f t="shared" si="0"/>
        <v>1757.6616725127299</v>
      </c>
      <c r="C10" s="33"/>
      <c r="D10" s="37">
        <f>IF(ISERROR(TER_ander_gas_kWh/1000),0,TER_ander_gas_kWh/1000)*0.902</f>
        <v>1569.5397027913907</v>
      </c>
      <c r="E10" s="33">
        <f>$C$30*'E Balans VL '!I14/100/3.6*1000000</f>
        <v>2.0950699054197224</v>
      </c>
      <c r="F10" s="33">
        <f>$C$30*('E Balans VL '!L14+'E Balans VL '!N14)/100/3.6*1000000</f>
        <v>459.88243302996818</v>
      </c>
      <c r="G10" s="34"/>
      <c r="H10" s="33"/>
      <c r="I10" s="33"/>
      <c r="J10" s="33">
        <f>$C$30*('E Balans VL '!D14+'E Balans VL '!E14)/100/3.6*1000000</f>
        <v>3.8151945066737199E-2</v>
      </c>
      <c r="K10" s="33"/>
      <c r="L10" s="33"/>
      <c r="M10" s="33"/>
      <c r="N10" s="33">
        <f>$C$30*'E Balans VL '!Y14/100/3.6*1000000</f>
        <v>1492.563282922084</v>
      </c>
      <c r="O10" s="33"/>
      <c r="P10" s="33"/>
      <c r="R10" s="32"/>
    </row>
    <row r="11" spans="1:18">
      <c r="A11" s="32" t="s">
        <v>54</v>
      </c>
      <c r="B11" s="37">
        <f t="shared" si="0"/>
        <v>34.644094164578497</v>
      </c>
      <c r="C11" s="33"/>
      <c r="D11" s="37">
        <f>IF(ISERROR(TER_onderwijs_gas_kWh/1000),0,TER_onderwijs_gas_kWh/1000)*0.902</f>
        <v>48.177123937308167</v>
      </c>
      <c r="E11" s="33">
        <f>$C$31*'E Balans VL '!I11/100/3.6*1000000</f>
        <v>0.52272358132386887</v>
      </c>
      <c r="F11" s="33">
        <f>$C$31*('E Balans VL '!L11+'E Balans VL '!N11)/100/3.6*1000000</f>
        <v>6.0701987535035604</v>
      </c>
      <c r="G11" s="34"/>
      <c r="H11" s="33"/>
      <c r="I11" s="33"/>
      <c r="J11" s="33">
        <f>$C$31*('E Balans VL '!D11+'E Balans VL '!E11)/100/3.6*1000000</f>
        <v>0</v>
      </c>
      <c r="K11" s="33"/>
      <c r="L11" s="33"/>
      <c r="M11" s="33"/>
      <c r="N11" s="33">
        <f>$C$31*'E Balans VL '!Y11/100/3.6*1000000</f>
        <v>9.7491114723460212E-2</v>
      </c>
      <c r="O11" s="33"/>
      <c r="P11" s="33"/>
      <c r="R11" s="32"/>
    </row>
    <row r="12" spans="1:18">
      <c r="A12" s="32" t="s">
        <v>254</v>
      </c>
      <c r="B12" s="37">
        <f t="shared" si="0"/>
        <v>8749.2011905789514</v>
      </c>
      <c r="C12" s="33"/>
      <c r="D12" s="37">
        <f>IF(ISERROR(TER_rest_gas_kWh/1000),0,TER_rest_gas_kWh/1000)*0.902</f>
        <v>9125.0048244090212</v>
      </c>
      <c r="E12" s="33">
        <f>$C$32*'E Balans VL '!I8/100/3.6*1000000</f>
        <v>108.64742607676735</v>
      </c>
      <c r="F12" s="33">
        <f>$C$32*('E Balans VL '!L8+'E Balans VL '!N8)/100/3.6*1000000</f>
        <v>1512.9529673170746</v>
      </c>
      <c r="G12" s="34"/>
      <c r="H12" s="33"/>
      <c r="I12" s="33"/>
      <c r="J12" s="33">
        <f>$C$32*('E Balans VL '!D8+'E Balans VL '!E8)/100/3.6*1000000</f>
        <v>2.1186411482361427E-2</v>
      </c>
      <c r="K12" s="33"/>
      <c r="L12" s="33"/>
      <c r="M12" s="33"/>
      <c r="N12" s="33">
        <f>$C$32*'E Balans VL '!Y8/100/3.6*1000000</f>
        <v>847.19087853004339</v>
      </c>
      <c r="O12" s="33"/>
      <c r="P12" s="33"/>
      <c r="R12" s="32"/>
    </row>
    <row r="13" spans="1:18">
      <c r="A13" s="16" t="s">
        <v>480</v>
      </c>
      <c r="B13" s="243">
        <f ca="1">'lokale energieproductie'!N39+'lokale energieproductie'!N32</f>
        <v>189</v>
      </c>
      <c r="C13" s="243">
        <f ca="1">'lokale energieproductie'!O39+'lokale energieproductie'!O32</f>
        <v>256.33928571428572</v>
      </c>
      <c r="D13" s="302">
        <f ca="1">('lokale energieproductie'!P32+'lokale energieproductie'!P39)*(-1)</f>
        <v>-411.42857142857144</v>
      </c>
      <c r="E13" s="244"/>
      <c r="F13" s="302">
        <f ca="1">('lokale energieproductie'!S32+'lokale energieproductie'!S39)*(-1)</f>
        <v>0</v>
      </c>
      <c r="G13" s="245"/>
      <c r="H13" s="244"/>
      <c r="I13" s="244"/>
      <c r="J13" s="244"/>
      <c r="K13" s="244"/>
      <c r="L13" s="302">
        <f ca="1">('lokale energieproductie'!U32+'lokale energieproductie'!T32+'lokale energieproductie'!U39+'lokale energieproductie'!T39)*(-1)</f>
        <v>-112.5</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14995.799827329658</v>
      </c>
      <c r="C16" s="21">
        <f t="shared" ca="1" si="1"/>
        <v>256.33928571428572</v>
      </c>
      <c r="D16" s="21">
        <f t="shared" ca="1" si="1"/>
        <v>14204.961589626631</v>
      </c>
      <c r="E16" s="21">
        <f t="shared" si="1"/>
        <v>172.75076522714608</v>
      </c>
      <c r="F16" s="21">
        <f t="shared" ca="1" si="1"/>
        <v>2658.9187769111631</v>
      </c>
      <c r="G16" s="21">
        <f t="shared" si="1"/>
        <v>0</v>
      </c>
      <c r="H16" s="21">
        <f t="shared" si="1"/>
        <v>0</v>
      </c>
      <c r="I16" s="21">
        <f t="shared" si="1"/>
        <v>0</v>
      </c>
      <c r="J16" s="21">
        <f t="shared" si="1"/>
        <v>5.9338356549098623E-2</v>
      </c>
      <c r="K16" s="21">
        <f t="shared" si="1"/>
        <v>0</v>
      </c>
      <c r="L16" s="21">
        <f t="shared" ca="1" si="1"/>
        <v>0</v>
      </c>
      <c r="M16" s="21">
        <f t="shared" si="1"/>
        <v>0</v>
      </c>
      <c r="N16" s="21">
        <f t="shared" ca="1" si="1"/>
        <v>2346.6402011447708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0.20903538813972547</v>
      </c>
      <c r="C18" s="25">
        <f ca="1">'EF ele_warmte'!B22</f>
        <v>0.18661854926019486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3134.6528373714832</v>
      </c>
      <c r="C20" s="23">
        <f t="shared" ref="C20:P20" ca="1" si="2">C16*C18</f>
        <v>47.837665618394595</v>
      </c>
      <c r="D20" s="23">
        <f t="shared" ca="1" si="2"/>
        <v>2869.4022411045798</v>
      </c>
      <c r="E20" s="23">
        <f t="shared" si="2"/>
        <v>39.214423706562158</v>
      </c>
      <c r="F20" s="23">
        <f t="shared" ca="1" si="2"/>
        <v>709.93131343528057</v>
      </c>
      <c r="G20" s="23">
        <f t="shared" si="2"/>
        <v>0</v>
      </c>
      <c r="H20" s="23">
        <f t="shared" si="2"/>
        <v>0</v>
      </c>
      <c r="I20" s="23">
        <f t="shared" si="2"/>
        <v>0</v>
      </c>
      <c r="J20" s="23">
        <f t="shared" si="2"/>
        <v>2.100577821838091E-2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1902.28514193759</v>
      </c>
      <c r="C26" s="39">
        <f>IF(ISERROR(B26*3.6/1000000/'E Balans VL '!Z12*100),0,B26*3.6/1000000/'E Balans VL '!Z12*100)</f>
        <v>4.0211294437483135E-2</v>
      </c>
      <c r="D26" s="233" t="s">
        <v>732</v>
      </c>
      <c r="F26" s="6"/>
    </row>
    <row r="27" spans="1:18">
      <c r="A27" s="228" t="s">
        <v>52</v>
      </c>
      <c r="B27" s="33">
        <f>IF(ISERROR(TER_horeca_ele_kWh/1000),0,TER_horeca_ele_kWh/1000)</f>
        <v>802.182533572034</v>
      </c>
      <c r="C27" s="39">
        <f>IF(ISERROR(B27*3.6/1000000/'E Balans VL '!Z9*100),0,B27*3.6/1000000/'E Balans VL '!Z9*100)</f>
        <v>6.3235750132789259E-2</v>
      </c>
      <c r="D27" s="233" t="s">
        <v>732</v>
      </c>
      <c r="F27" s="6"/>
    </row>
    <row r="28" spans="1:18">
      <c r="A28" s="168" t="s">
        <v>51</v>
      </c>
      <c r="B28" s="33">
        <f>IF(ISERROR(TER_handel_ele_kWh/1000),0,TER_handel_ele_kWh/1000)</f>
        <v>1377.86648468873</v>
      </c>
      <c r="C28" s="39">
        <f>IF(ISERROR(B28*3.6/1000000/'E Balans VL '!Z13*100),0,B28*3.6/1000000/'E Balans VL '!Z13*100)</f>
        <v>3.9991252590104331E-2</v>
      </c>
      <c r="D28" s="233" t="s">
        <v>732</v>
      </c>
      <c r="F28" s="6"/>
    </row>
    <row r="29" spans="1:18">
      <c r="A29" s="228" t="s">
        <v>50</v>
      </c>
      <c r="B29" s="33">
        <f>IF(ISERROR(TER_gezond_ele_kWh/1000),0,TER_gezond_ele_kWh/1000)</f>
        <v>182.95870987504401</v>
      </c>
      <c r="C29" s="39">
        <f>IF(ISERROR(B29*3.6/1000000/'E Balans VL '!Z10*100),0,B29*3.6/1000000/'E Balans VL '!Z10*100)</f>
        <v>1.9268556411159168E-2</v>
      </c>
      <c r="D29" s="233" t="s">
        <v>732</v>
      </c>
      <c r="F29" s="6"/>
    </row>
    <row r="30" spans="1:18">
      <c r="A30" s="228" t="s">
        <v>49</v>
      </c>
      <c r="B30" s="33">
        <f>IF(ISERROR(TER_ander_ele_kWh/1000),0,TER_ander_ele_kWh/1000)</f>
        <v>1757.6616725127299</v>
      </c>
      <c r="C30" s="39">
        <f>IF(ISERROR(B30*3.6/1000000/'E Balans VL '!Z14*100),0,B30*3.6/1000000/'E Balans VL '!Z14*100)</f>
        <v>0.12964550672675521</v>
      </c>
      <c r="D30" s="233" t="s">
        <v>732</v>
      </c>
      <c r="F30" s="6"/>
    </row>
    <row r="31" spans="1:18">
      <c r="A31" s="228" t="s">
        <v>54</v>
      </c>
      <c r="B31" s="33">
        <f>IF(ISERROR(TER_onderwijs_ele_kWh/1000),0,TER_onderwijs_ele_kWh/1000)</f>
        <v>34.644094164578497</v>
      </c>
      <c r="C31" s="39">
        <f>IF(ISERROR(B31*3.6/1000000/'E Balans VL '!Z11*100),0,B31*3.6/1000000/'E Balans VL '!Z11*100)</f>
        <v>8.6037514060070142E-3</v>
      </c>
      <c r="D31" s="233" t="s">
        <v>732</v>
      </c>
    </row>
    <row r="32" spans="1:18">
      <c r="A32" s="228" t="s">
        <v>254</v>
      </c>
      <c r="B32" s="33">
        <f>IF(ISERROR(TER_rest_ele_kWh/1000),0,TER_rest_ele_kWh/1000)</f>
        <v>8749.2011905789514</v>
      </c>
      <c r="C32" s="39">
        <f>IF(ISERROR(B32*3.6/1000000/'E Balans VL '!Z8*100),0,B32*3.6/1000000/'E Balans VL '!Z8*100)</f>
        <v>7.199431241441541E-2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45816.433057946255</v>
      </c>
      <c r="C5" s="17">
        <f>IF(ISERROR('Eigen informatie GS &amp; warmtenet'!B59),0,'Eigen informatie GS &amp; warmtenet'!B59)</f>
        <v>0</v>
      </c>
      <c r="D5" s="30">
        <f>SUM(D6:D15)</f>
        <v>37805.315810252869</v>
      </c>
      <c r="E5" s="17">
        <f>SUM(E6:E15)</f>
        <v>2906.0896691857711</v>
      </c>
      <c r="F5" s="17">
        <f>SUM(F6:F15)</f>
        <v>10035.548438927539</v>
      </c>
      <c r="G5" s="18"/>
      <c r="H5" s="17"/>
      <c r="I5" s="17"/>
      <c r="J5" s="17">
        <f>SUM(J6:J15)</f>
        <v>158.06877000750001</v>
      </c>
      <c r="K5" s="17"/>
      <c r="L5" s="17"/>
      <c r="M5" s="17"/>
      <c r="N5" s="17">
        <f>SUM(N6:N15)</f>
        <v>3234.6054888518634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41.134800005450501</v>
      </c>
      <c r="C8" s="33"/>
      <c r="D8" s="37">
        <f>IF( ISERROR(IND_metaal_Gas_kWH/1000),0,IND_metaal_Gas_kWH/1000)*0.902</f>
        <v>0</v>
      </c>
      <c r="E8" s="33">
        <f>C30*'E Balans VL '!I18/100/3.6*1000000</f>
        <v>0.37819475768245431</v>
      </c>
      <c r="F8" s="33">
        <f>C30*'E Balans VL '!L18/100/3.6*1000000+C30*'E Balans VL '!N18/100/3.6*1000000</f>
        <v>3.8570747243903765</v>
      </c>
      <c r="G8" s="34"/>
      <c r="H8" s="33"/>
      <c r="I8" s="33"/>
      <c r="J8" s="40">
        <f>C30*'E Balans VL '!D18/100/3.6*1000000+C30*'E Balans VL '!E18/100/3.6*1000000</f>
        <v>0</v>
      </c>
      <c r="K8" s="33"/>
      <c r="L8" s="33"/>
      <c r="M8" s="33"/>
      <c r="N8" s="33">
        <f>C30*'E Balans VL '!Y18/100/3.6*1000000</f>
        <v>0.58685590019739042</v>
      </c>
      <c r="O8" s="33"/>
      <c r="P8" s="33"/>
      <c r="R8" s="32"/>
    </row>
    <row r="9" spans="1:18">
      <c r="A9" s="6" t="s">
        <v>32</v>
      </c>
      <c r="B9" s="37">
        <f t="shared" si="0"/>
        <v>1600.1501217650598</v>
      </c>
      <c r="C9" s="33"/>
      <c r="D9" s="37">
        <f>IF( ISERROR(IND_andere_gas_kWh/1000),0,IND_andere_gas_kWh/1000)*0.902</f>
        <v>308.24997947176809</v>
      </c>
      <c r="E9" s="33">
        <f>C31*'E Balans VL '!I19/100/3.6*1000000</f>
        <v>467.75503184052923</v>
      </c>
      <c r="F9" s="33">
        <f>C31*'E Balans VL '!L19/100/3.6*1000000+C31*'E Balans VL '!N19/100/3.6*1000000</f>
        <v>1285.8417430731988</v>
      </c>
      <c r="G9" s="34"/>
      <c r="H9" s="33"/>
      <c r="I9" s="33"/>
      <c r="J9" s="40">
        <f>C31*'E Balans VL '!D19/100/3.6*1000000+C31*'E Balans VL '!E19/100/3.6*1000000</f>
        <v>0</v>
      </c>
      <c r="K9" s="33"/>
      <c r="L9" s="33"/>
      <c r="M9" s="33"/>
      <c r="N9" s="33">
        <f>C31*'E Balans VL '!Y19/100/3.6*1000000</f>
        <v>125.51360227716836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22.602345406244801</v>
      </c>
      <c r="C13" s="33"/>
      <c r="D13" s="37">
        <f>IF( ISERROR(IND_papier_gas_kWh/1000),0,IND_papier_gas_kWh/1000)*0.902</f>
        <v>0</v>
      </c>
      <c r="E13" s="33">
        <f>C35*'E Balans VL '!I23/100/3.6*1000000</f>
        <v>3.2067559015194709E-2</v>
      </c>
      <c r="F13" s="33">
        <f>C35*'E Balans VL '!L23/100/3.6*1000000+C35*'E Balans VL '!N23/100/3.6*1000000</f>
        <v>0.55180824166486242</v>
      </c>
      <c r="G13" s="34"/>
      <c r="H13" s="33"/>
      <c r="I13" s="33"/>
      <c r="J13" s="40">
        <f>C35*'E Balans VL '!D23/100/3.6*1000000+C35*'E Balans VL '!E23/100/3.6*1000000</f>
        <v>3.495664920825588E-3</v>
      </c>
      <c r="K13" s="33"/>
      <c r="L13" s="33"/>
      <c r="M13" s="33"/>
      <c r="N13" s="33">
        <f>C35*'E Balans VL '!Y23/100/3.6*1000000</f>
        <v>9.2349906209615789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44152.545790769502</v>
      </c>
      <c r="C15" s="33"/>
      <c r="D15" s="37">
        <f>IF( ISERROR(IND_rest_gas_kWh/1000),0,IND_rest_gas_kWh/1000)*0.902</f>
        <v>37497.065830781103</v>
      </c>
      <c r="E15" s="33">
        <f>C37*'E Balans VL '!I15/100/3.6*1000000</f>
        <v>2437.9243750285441</v>
      </c>
      <c r="F15" s="33">
        <f>C37*'E Balans VL '!L15/100/3.6*1000000+C37*'E Balans VL '!N15/100/3.6*1000000</f>
        <v>8745.2978128882842</v>
      </c>
      <c r="G15" s="34"/>
      <c r="H15" s="33"/>
      <c r="I15" s="33"/>
      <c r="J15" s="40">
        <f>C37*'E Balans VL '!D15/100/3.6*1000000+C37*'E Balans VL '!E15/100/3.6*1000000</f>
        <v>158.06527434257919</v>
      </c>
      <c r="K15" s="33"/>
      <c r="L15" s="33"/>
      <c r="M15" s="33"/>
      <c r="N15" s="33">
        <f>C37*'E Balans VL '!Y15/100/3.6*1000000</f>
        <v>3099.2700400535359</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45816.433057946255</v>
      </c>
      <c r="C18" s="21">
        <f>C5+C16</f>
        <v>0</v>
      </c>
      <c r="D18" s="21">
        <f>MAX((D5+D16),0)</f>
        <v>37805.315810252869</v>
      </c>
      <c r="E18" s="21">
        <f>MAX((E5+E16),0)</f>
        <v>2906.0896691857711</v>
      </c>
      <c r="F18" s="21">
        <f>MAX((F5+F16),0)</f>
        <v>10035.548438927539</v>
      </c>
      <c r="G18" s="21"/>
      <c r="H18" s="21"/>
      <c r="I18" s="21"/>
      <c r="J18" s="21">
        <f>MAX((J5+J16),0)</f>
        <v>158.06877000750001</v>
      </c>
      <c r="K18" s="21"/>
      <c r="L18" s="21">
        <f>MAX((L5+L16),0)</f>
        <v>0</v>
      </c>
      <c r="M18" s="21"/>
      <c r="N18" s="21">
        <f>MAX((N5+N16),0)</f>
        <v>3234.6054888518634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0.20903538813972547</v>
      </c>
      <c r="C20" s="25">
        <f ca="1">'EF ele_warmte'!B22</f>
        <v>0.18661854926019486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9577.2558674455449</v>
      </c>
      <c r="C22" s="23">
        <f ca="1">C18*C20</f>
        <v>0</v>
      </c>
      <c r="D22" s="23">
        <f>D18*D20</f>
        <v>7636.6737936710797</v>
      </c>
      <c r="E22" s="23">
        <f>E18*E20</f>
        <v>659.68235490517009</v>
      </c>
      <c r="F22" s="23">
        <f>F18*F20</f>
        <v>2679.4914331936529</v>
      </c>
      <c r="G22" s="23"/>
      <c r="H22" s="23"/>
      <c r="I22" s="23"/>
      <c r="J22" s="23">
        <f>J18*J20</f>
        <v>55.956344582654999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41.134800005450501</v>
      </c>
      <c r="C30" s="39">
        <f>IF(ISERROR(B30*3.6/1000000/'E Balans VL '!Z18*100),0,B30*3.6/1000000/'E Balans VL '!Z18*100)</f>
        <v>2.3312145928347698E-3</v>
      </c>
      <c r="D30" s="233" t="s">
        <v>732</v>
      </c>
    </row>
    <row r="31" spans="1:18">
      <c r="A31" s="6" t="s">
        <v>32</v>
      </c>
      <c r="B31" s="37">
        <f>IF( ISERROR(IND_ander_ele_kWh/1000),0,IND_ander_ele_kWh/1000)</f>
        <v>1600.1501217650598</v>
      </c>
      <c r="C31" s="39">
        <f>IF(ISERROR(B31*3.6/1000000/'E Balans VL '!Z19*100),0,B31*3.6/1000000/'E Balans VL '!Z19*100)</f>
        <v>7.2576146614121984E-2</v>
      </c>
      <c r="D31" s="233" t="s">
        <v>732</v>
      </c>
    </row>
    <row r="32" spans="1:18">
      <c r="A32" s="168" t="s">
        <v>40</v>
      </c>
      <c r="B32" s="37">
        <f>IF( ISERROR(IND_voed_ele_kWh/1000),0,IND_voed_ele_kWh/1000)</f>
        <v>0</v>
      </c>
      <c r="C32" s="39">
        <f>IF(ISERROR(B32*3.6/1000000/'E Balans VL '!Z20*100),0,B32*3.6/1000000/'E Balans VL '!Z20*100)</f>
        <v>0</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22.602345406244801</v>
      </c>
      <c r="C35" s="39">
        <f>IF(ISERROR(B35*3.6/1000000/'E Balans VL '!Z22*100),0,B35*3.6/1000000/'E Balans VL '!Z22*100)</f>
        <v>4.0654567535283216E-3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44152.545790769502</v>
      </c>
      <c r="C37" s="39">
        <f>IF(ISERROR(B37*3.6/1000000/'E Balans VL '!Z15*100),0,B37*3.6/1000000/'E Balans VL '!Z15*100)</f>
        <v>0.34996314987508875</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624.63522682895996</v>
      </c>
      <c r="C5" s="17">
        <f>'Eigen informatie GS &amp; warmtenet'!B60</f>
        <v>0</v>
      </c>
      <c r="D5" s="30">
        <f>IF(ISERROR(SUM(LB_lb_gas_kWh,LB_rest_gas_kWh)/1000),0,SUM(LB_lb_gas_kWh,LB_rest_gas_kWh)/1000)*0.902</f>
        <v>123.80589925421494</v>
      </c>
      <c r="E5" s="17">
        <f>B17*'E Balans VL '!I25/3.6*1000000/100</f>
        <v>18.359937172693492</v>
      </c>
      <c r="F5" s="17">
        <f>B17*('E Balans VL '!L25/3.6*1000000+'E Balans VL '!N25/3.6*1000000)/100</f>
        <v>2602.1966014534332</v>
      </c>
      <c r="G5" s="18"/>
      <c r="H5" s="17"/>
      <c r="I5" s="17"/>
      <c r="J5" s="17">
        <f>('E Balans VL '!D25+'E Balans VL '!E25)/3.6*1000000*landbouw!B17/100</f>
        <v>90.496230172469382</v>
      </c>
      <c r="K5" s="17"/>
      <c r="L5" s="17">
        <f>L6*(-1)</f>
        <v>0</v>
      </c>
      <c r="M5" s="17"/>
      <c r="N5" s="17">
        <f>N6*(-1)</f>
        <v>0</v>
      </c>
      <c r="O5" s="17"/>
      <c r="P5" s="17"/>
      <c r="R5" s="32"/>
    </row>
    <row r="6" spans="1:18">
      <c r="A6" s="16" t="s">
        <v>480</v>
      </c>
      <c r="B6" s="17" t="s">
        <v>210</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624.63522682895996</v>
      </c>
      <c r="C8" s="21">
        <f>C5+C6</f>
        <v>0</v>
      </c>
      <c r="D8" s="21">
        <f>MAX((D5+D6),0)</f>
        <v>123.80589925421494</v>
      </c>
      <c r="E8" s="21">
        <f>MAX((E5+E6),0)</f>
        <v>18.359937172693492</v>
      </c>
      <c r="F8" s="21">
        <f>MAX((F5+F6),0)</f>
        <v>2602.1966014534332</v>
      </c>
      <c r="G8" s="21"/>
      <c r="H8" s="21"/>
      <c r="I8" s="21"/>
      <c r="J8" s="21">
        <f>MAX((J5+J6),0)</f>
        <v>90.496230172469382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0.20903538813972547</v>
      </c>
      <c r="C10" s="31">
        <f ca="1">'EF ele_warmte'!B22</f>
        <v>0.18661854926019486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130.5708670859371</v>
      </c>
      <c r="C12" s="23">
        <f ca="1">C8*C10</f>
        <v>0</v>
      </c>
      <c r="D12" s="23">
        <f>D8*D10</f>
        <v>25.008791649351419</v>
      </c>
      <c r="E12" s="23">
        <f>E8*E10</f>
        <v>4.1677057382014224</v>
      </c>
      <c r="F12" s="23">
        <f>F8*F10</f>
        <v>694.78649258806672</v>
      </c>
      <c r="G12" s="23"/>
      <c r="H12" s="23"/>
      <c r="I12" s="23"/>
      <c r="J12" s="23">
        <f>J8*J10</f>
        <v>32.03566548105416</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8.8637698420287833E-2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12.109011140163416</v>
      </c>
      <c r="C26" s="243">
        <f>B26*'GWP N2O_CH4'!B5</f>
        <v>254.28923394343173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0.76950050076487009</v>
      </c>
      <c r="C27" s="243">
        <f>B27*'GWP N2O_CH4'!B5</f>
        <v>16.159510516062273</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0.18363144276638507</v>
      </c>
      <c r="C28" s="243">
        <f>B28*'GWP N2O_CH4'!B4</f>
        <v>56.925747257579374</v>
      </c>
      <c r="D28" s="50"/>
    </row>
    <row r="29" spans="1:4">
      <c r="A29" s="41" t="s">
        <v>271</v>
      </c>
      <c r="B29" s="243">
        <f>B34*'ha_N2O bodem landbouw'!B4</f>
        <v>6.1100103455715784</v>
      </c>
      <c r="C29" s="243">
        <f>B29*'GWP N2O_CH4'!B4</f>
        <v>1894.1032071271893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1.3942833048270619E-3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4.0788493736918549E-4</v>
      </c>
      <c r="C5" s="431" t="s">
        <v>210</v>
      </c>
      <c r="D5" s="416">
        <f>SUM(D6:D11)</f>
        <v>6.4111949838779967E-4</v>
      </c>
      <c r="E5" s="416">
        <f>SUM(E6:E11)</f>
        <v>1.2227722158293672E-3</v>
      </c>
      <c r="F5" s="429" t="s">
        <v>210</v>
      </c>
      <c r="G5" s="416">
        <f>SUM(G6:G11)</f>
        <v>0.48428749803260962</v>
      </c>
      <c r="H5" s="416">
        <f>SUM(H6:H11)</f>
        <v>0.10508661329109115</v>
      </c>
      <c r="I5" s="431" t="s">
        <v>210</v>
      </c>
      <c r="J5" s="431" t="s">
        <v>210</v>
      </c>
      <c r="K5" s="431" t="s">
        <v>210</v>
      </c>
      <c r="L5" s="431" t="s">
        <v>210</v>
      </c>
      <c r="M5" s="416">
        <f>SUM(M6:M11)</f>
        <v>3.1388492353032878E-2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1.4912873570358678E-4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2.5071162890237747E-4</v>
      </c>
      <c r="E6" s="859">
        <f>vkm_GW_PW*SUMIFS(TableVerdeelsleutelVkm[LPG],TableVerdeelsleutelVkm[Voertuigtype],"Lichte voertuigen")*SUMIFS(TableECFTransport[EnergieConsumptieFactor (PJ per km)],TableECFTransport[Index],CONCATENATE($A6,"_LPG_LPG"))</f>
        <v>4.4112925885001733E-4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0.13088177387761113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4.0505874050465469E-2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8.8393516122823521E-3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1.5885132152157741E-6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5.1023709428787159E-2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8.3248175593868124E-7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2.9810879736264298E-3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5.5194112966053863E-5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1.1897850033464178E-4</v>
      </c>
      <c r="E8" s="419">
        <f>vkm_NGW_PW*SUMIFS(TableVerdeelsleutelVkm[LPG],TableVerdeelsleutelVkm[Voertuigtype],"Lichte voertuigen")*SUMIFS(TableECFTransport[EnergieConsumptieFactor (PJ per km)],TableECFTransport[Index],CONCATENATE($A8,"_LPG_LPG"))</f>
        <v>2.0046531742352769E-4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5.5310246022799228E-2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1.8827366240537505E-2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3.7858207517663029E-3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7.23945304601442E-8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2.983568537118275E-3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4.5793737923343884E-8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1.7431652951533253E-4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1.9908062230751685E-4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2.7142936915078037E-4</v>
      </c>
      <c r="E10" s="419">
        <f>vkm_SW_PW*SUMIFS(TableVerdeelsleutelVkm[LPG],TableVerdeelsleutelVkm[Voertuigtype],"Lichte voertuigen")*SUMIFS(TableECFTransport[EnergieConsumptieFactor (PJ per km)],TableECFTransport[Index],CONCATENATE($A10,"_LPG_LPG"))</f>
        <v>5.8117763955582214E-4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0.15779555266091236</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4.5750973303385831E-2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1.0566217281534748E-2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2.8205586463521081E-6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8.6292647505381445E-2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1.5214212084744734E-6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5.0416982043077147E-3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113.30137149144042</v>
      </c>
      <c r="C14" s="21"/>
      <c r="D14" s="21">
        <f t="shared" ref="D14:M14" si="0">((D5)*10^9/3600)+D12</f>
        <v>178.08874955216658</v>
      </c>
      <c r="E14" s="21">
        <f t="shared" si="0"/>
        <v>339.65894884149094</v>
      </c>
      <c r="F14" s="21"/>
      <c r="G14" s="21">
        <f t="shared" si="0"/>
        <v>134524.30500905824</v>
      </c>
      <c r="H14" s="21">
        <f t="shared" si="0"/>
        <v>29190.725914191986</v>
      </c>
      <c r="I14" s="21"/>
      <c r="J14" s="21"/>
      <c r="K14" s="21"/>
      <c r="L14" s="21"/>
      <c r="M14" s="21">
        <f t="shared" si="0"/>
        <v>8719.0256536202451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0.20903538813972547</v>
      </c>
      <c r="C16" s="56">
        <f ca="1">'EF ele_warmte'!B22</f>
        <v>0.18661854926019486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23.683996166476476</v>
      </c>
      <c r="C18" s="23"/>
      <c r="D18" s="23">
        <f t="shared" ref="D18:M18" si="1">D14*D16</f>
        <v>35.973927409537652</v>
      </c>
      <c r="E18" s="23">
        <f t="shared" si="1"/>
        <v>77.102581387018446</v>
      </c>
      <c r="F18" s="23"/>
      <c r="G18" s="23">
        <f t="shared" si="1"/>
        <v>35917.989437418553</v>
      </c>
      <c r="H18" s="23">
        <f t="shared" si="1"/>
        <v>7268.4907526338047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6.0852010477707365E-5</v>
      </c>
      <c r="C50" s="313">
        <f t="shared" ref="C50:P50" si="2">SUM(C51:C52)</f>
        <v>0</v>
      </c>
      <c r="D50" s="313">
        <f t="shared" si="2"/>
        <v>0</v>
      </c>
      <c r="E50" s="313">
        <f t="shared" si="2"/>
        <v>0</v>
      </c>
      <c r="F50" s="313">
        <f t="shared" si="2"/>
        <v>0</v>
      </c>
      <c r="G50" s="313">
        <f t="shared" si="2"/>
        <v>5.7164423736434291E-3</v>
      </c>
      <c r="H50" s="313">
        <f t="shared" si="2"/>
        <v>0</v>
      </c>
      <c r="I50" s="313">
        <f t="shared" si="2"/>
        <v>0</v>
      </c>
      <c r="J50" s="313">
        <f t="shared" si="2"/>
        <v>0</v>
      </c>
      <c r="K50" s="313">
        <f t="shared" si="2"/>
        <v>0</v>
      </c>
      <c r="L50" s="313">
        <f t="shared" si="2"/>
        <v>0</v>
      </c>
      <c r="M50" s="313">
        <f t="shared" si="2"/>
        <v>3.2919275258828674E-4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6.0852010477707365E-5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5.7164423736434291E-3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3.2919275258828674E-4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16.903336243807601</v>
      </c>
      <c r="C54" s="21">
        <f t="shared" ref="C54:P54" si="3">(C50)*10^9/3600</f>
        <v>0</v>
      </c>
      <c r="D54" s="21">
        <f t="shared" si="3"/>
        <v>0</v>
      </c>
      <c r="E54" s="21">
        <f t="shared" si="3"/>
        <v>0</v>
      </c>
      <c r="F54" s="21">
        <f t="shared" si="3"/>
        <v>0</v>
      </c>
      <c r="G54" s="21">
        <f t="shared" si="3"/>
        <v>1587.9006593453969</v>
      </c>
      <c r="H54" s="21">
        <f t="shared" si="3"/>
        <v>0</v>
      </c>
      <c r="I54" s="21">
        <f t="shared" si="3"/>
        <v>0</v>
      </c>
      <c r="J54" s="21">
        <f t="shared" si="3"/>
        <v>0</v>
      </c>
      <c r="K54" s="21">
        <f t="shared" si="3"/>
        <v>0</v>
      </c>
      <c r="L54" s="21">
        <f t="shared" si="3"/>
        <v>0</v>
      </c>
      <c r="M54" s="21">
        <f t="shared" si="3"/>
        <v>91.442431274524097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0.20903538813972547</v>
      </c>
      <c r="C56" s="56">
        <f ca="1">'EF ele_warmte'!B22</f>
        <v>0.18661854926019486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3.5333954525806113</v>
      </c>
      <c r="C58" s="23">
        <f t="shared" ref="C58:P58" ca="1" si="4">C54*C56</f>
        <v>0</v>
      </c>
      <c r="D58" s="23">
        <f t="shared" si="4"/>
        <v>0</v>
      </c>
      <c r="E58" s="23">
        <f t="shared" si="4"/>
        <v>0</v>
      </c>
      <c r="F58" s="23">
        <f t="shared" si="4"/>
        <v>0</v>
      </c>
      <c r="G58" s="23">
        <f t="shared" si="4"/>
        <v>423.96947604522097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193.49682045051193</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4809.3529098699682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189</v>
      </c>
      <c r="C8" s="538">
        <f>B49</f>
        <v>174.6084446048358</v>
      </c>
      <c r="D8" s="1004"/>
      <c r="E8" s="1004">
        <f>E49</f>
        <v>0</v>
      </c>
      <c r="F8" s="1005"/>
      <c r="G8" s="539"/>
      <c r="H8" s="1004">
        <f>I49</f>
        <v>0</v>
      </c>
      <c r="I8" s="1004">
        <f>G49+F49</f>
        <v>47.744496571634784</v>
      </c>
      <c r="J8" s="1004">
        <f>H49+D49+C49</f>
        <v>0</v>
      </c>
      <c r="K8" s="1004"/>
      <c r="L8" s="1004"/>
      <c r="M8" s="1004"/>
      <c r="N8" s="540"/>
      <c r="O8" s="541">
        <f>C8*$C$12+D8*$D$12+E8*$E$12+F8*$F$12+G8*$G$12+H8*$H$12+I8*$I$12+J8*$J$12</f>
        <v>35.270905810176835</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5191.8497303204804</v>
      </c>
      <c r="C10" s="551">
        <f t="shared" ref="C10:L10" si="0">SUM(C8:C9)</f>
        <v>174.6084446048358</v>
      </c>
      <c r="D10" s="551">
        <f t="shared" si="0"/>
        <v>0</v>
      </c>
      <c r="E10" s="551">
        <f t="shared" si="0"/>
        <v>0</v>
      </c>
      <c r="F10" s="551">
        <f t="shared" si="0"/>
        <v>0</v>
      </c>
      <c r="G10" s="551">
        <f t="shared" si="0"/>
        <v>0</v>
      </c>
      <c r="H10" s="551">
        <f t="shared" si="0"/>
        <v>0</v>
      </c>
      <c r="I10" s="551">
        <f t="shared" si="0"/>
        <v>47.744496571634784</v>
      </c>
      <c r="J10" s="551">
        <f t="shared" si="0"/>
        <v>0</v>
      </c>
      <c r="K10" s="551">
        <f t="shared" si="0"/>
        <v>0</v>
      </c>
      <c r="L10" s="551">
        <f t="shared" si="0"/>
        <v>0</v>
      </c>
      <c r="M10" s="1007"/>
      <c r="N10" s="1007"/>
      <c r="O10" s="552">
        <f>SUM(O4:O9)</f>
        <v>35.270905810176835</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256.33928571428572</v>
      </c>
      <c r="C17" s="563">
        <f>B50</f>
        <v>236.82012682373562</v>
      </c>
      <c r="D17" s="564"/>
      <c r="E17" s="564">
        <f>E50</f>
        <v>0</v>
      </c>
      <c r="F17" s="1010"/>
      <c r="G17" s="565"/>
      <c r="H17" s="563">
        <f>I50</f>
        <v>0</v>
      </c>
      <c r="I17" s="564">
        <f>G50+F50</f>
        <v>64.755503428365202</v>
      </c>
      <c r="J17" s="564">
        <f>H50+D50+C50</f>
        <v>0</v>
      </c>
      <c r="K17" s="564"/>
      <c r="L17" s="564"/>
      <c r="M17" s="564"/>
      <c r="N17" s="1011"/>
      <c r="O17" s="566">
        <f>C17*$C$22+E17*$E$22+H17*$H$22+I17*$I$22+J17*$J$22+D17*$D$22+F17*$F$22+G17*$G$22+K17*$K$22+L17*$L$22</f>
        <v>47.837665618394595</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256.33928571428572</v>
      </c>
      <c r="C20" s="550">
        <f>SUM(C17:C19)</f>
        <v>236.82012682373562</v>
      </c>
      <c r="D20" s="550">
        <f t="shared" ref="D20:L20" si="1">SUM(D17:D19)</f>
        <v>0</v>
      </c>
      <c r="E20" s="550">
        <f t="shared" si="1"/>
        <v>0</v>
      </c>
      <c r="F20" s="550">
        <f t="shared" si="1"/>
        <v>0</v>
      </c>
      <c r="G20" s="550">
        <f t="shared" si="1"/>
        <v>0</v>
      </c>
      <c r="H20" s="550">
        <f t="shared" si="1"/>
        <v>0</v>
      </c>
      <c r="I20" s="550">
        <f t="shared" si="1"/>
        <v>64.755503428365202</v>
      </c>
      <c r="J20" s="550">
        <f t="shared" si="1"/>
        <v>0</v>
      </c>
      <c r="K20" s="550">
        <f t="shared" si="1"/>
        <v>0</v>
      </c>
      <c r="L20" s="550">
        <f t="shared" si="1"/>
        <v>0</v>
      </c>
      <c r="M20" s="550"/>
      <c r="N20" s="550"/>
      <c r="O20" s="569">
        <f>SUM(O17:O19)</f>
        <v>47.837665618394595</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63.75">
      <c r="A28" s="573"/>
      <c r="B28" s="764">
        <v>24094</v>
      </c>
      <c r="C28" s="764">
        <v>3118</v>
      </c>
      <c r="D28" s="621" t="s">
        <v>902</v>
      </c>
      <c r="E28" s="620" t="s">
        <v>903</v>
      </c>
      <c r="F28" s="620" t="s">
        <v>904</v>
      </c>
      <c r="G28" s="620" t="s">
        <v>905</v>
      </c>
      <c r="H28" s="620" t="s">
        <v>906</v>
      </c>
      <c r="I28" s="620" t="s">
        <v>903</v>
      </c>
      <c r="J28" s="763">
        <v>38718</v>
      </c>
      <c r="K28" s="763">
        <v>38991</v>
      </c>
      <c r="L28" s="620" t="s">
        <v>907</v>
      </c>
      <c r="M28" s="620">
        <v>10</v>
      </c>
      <c r="N28" s="620">
        <v>45</v>
      </c>
      <c r="O28" s="620">
        <v>50.625</v>
      </c>
      <c r="P28" s="620">
        <v>0</v>
      </c>
      <c r="Q28" s="620">
        <v>0</v>
      </c>
      <c r="R28" s="620">
        <v>0</v>
      </c>
      <c r="S28" s="620">
        <v>0</v>
      </c>
      <c r="T28" s="620">
        <v>112.5</v>
      </c>
      <c r="U28" s="620">
        <v>0</v>
      </c>
      <c r="V28" s="620">
        <v>0</v>
      </c>
      <c r="W28" s="620">
        <v>0</v>
      </c>
      <c r="X28" s="620">
        <v>1600</v>
      </c>
      <c r="Y28" s="620" t="s">
        <v>49</v>
      </c>
      <c r="Z28" s="622" t="s">
        <v>155</v>
      </c>
    </row>
    <row r="29" spans="1:26" s="574" customFormat="1" ht="51">
      <c r="A29" s="573"/>
      <c r="B29" s="764">
        <v>24094</v>
      </c>
      <c r="C29" s="764">
        <v>3110</v>
      </c>
      <c r="D29" s="621"/>
      <c r="E29" s="620"/>
      <c r="F29" s="620" t="s">
        <v>908</v>
      </c>
      <c r="G29" s="620" t="s">
        <v>905</v>
      </c>
      <c r="H29" s="620" t="s">
        <v>909</v>
      </c>
      <c r="I29" s="620" t="s">
        <v>910</v>
      </c>
      <c r="J29" s="763">
        <v>42028</v>
      </c>
      <c r="K29" s="763">
        <v>42019</v>
      </c>
      <c r="L29" s="620" t="s">
        <v>907</v>
      </c>
      <c r="M29" s="620">
        <v>32</v>
      </c>
      <c r="N29" s="620">
        <v>144</v>
      </c>
      <c r="O29" s="620">
        <v>205.71428571428572</v>
      </c>
      <c r="P29" s="620">
        <v>411.42857142857144</v>
      </c>
      <c r="Q29" s="620">
        <v>0</v>
      </c>
      <c r="R29" s="620">
        <v>0</v>
      </c>
      <c r="S29" s="620">
        <v>0</v>
      </c>
      <c r="T29" s="620">
        <v>0</v>
      </c>
      <c r="U29" s="620">
        <v>0</v>
      </c>
      <c r="V29" s="620">
        <v>0</v>
      </c>
      <c r="W29" s="620">
        <v>0</v>
      </c>
      <c r="X29" s="620">
        <v>1500</v>
      </c>
      <c r="Y29" s="620" t="s">
        <v>50</v>
      </c>
      <c r="Z29" s="622" t="s">
        <v>155</v>
      </c>
    </row>
    <row r="30" spans="1:26" s="558" customFormat="1">
      <c r="A30" s="576" t="s">
        <v>274</v>
      </c>
      <c r="B30" s="577"/>
      <c r="C30" s="577"/>
      <c r="D30" s="577"/>
      <c r="E30" s="577"/>
      <c r="F30" s="577"/>
      <c r="G30" s="577"/>
      <c r="H30" s="577"/>
      <c r="I30" s="577"/>
      <c r="J30" s="577"/>
      <c r="K30" s="577"/>
      <c r="L30" s="578"/>
      <c r="M30" s="578">
        <f>SUM(M28:M29)</f>
        <v>42</v>
      </c>
      <c r="N30" s="578">
        <f>SUM(N28:N29)</f>
        <v>189</v>
      </c>
      <c r="O30" s="578">
        <f>SUM(O28:O29)</f>
        <v>256.33928571428572</v>
      </c>
      <c r="P30" s="578">
        <f>SUM(P28:P29)</f>
        <v>411.42857142857144</v>
      </c>
      <c r="Q30" s="578">
        <f>SUM(Q28:Q29)</f>
        <v>0</v>
      </c>
      <c r="R30" s="578">
        <f>SUM(R28:R29)</f>
        <v>0</v>
      </c>
      <c r="S30" s="578">
        <f>SUM(S28:S29)</f>
        <v>0</v>
      </c>
      <c r="T30" s="578">
        <f>SUM(T28:T29)</f>
        <v>112.5</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42</v>
      </c>
      <c r="N32" s="578">
        <f ca="1">SUMIF($Z$28:AD29,"tertiair",N28:N29)</f>
        <v>189</v>
      </c>
      <c r="O32" s="578">
        <f ca="1">SUMIF($Z$28:AE29,"tertiair",O28:O29)</f>
        <v>256.33928571428572</v>
      </c>
      <c r="P32" s="578">
        <f ca="1">SUMIF($Z$28:AF29,"tertiair",P28:P29)</f>
        <v>411.42857142857144</v>
      </c>
      <c r="Q32" s="578">
        <f ca="1">SUMIF($Z$28:AG29,"tertiair",Q28:Q29)</f>
        <v>0</v>
      </c>
      <c r="R32" s="578">
        <f ca="1">SUMIF($Z$28:AH29,"tertiair",R28:R29)</f>
        <v>0</v>
      </c>
      <c r="S32" s="578">
        <f ca="1">SUMIF($Z$28:AI29,"tertiair",S28:S29)</f>
        <v>0</v>
      </c>
      <c r="T32" s="578">
        <f ca="1">SUMIF($Z$28:AJ29,"tertiair",T28:T29)</f>
        <v>112.5</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0</v>
      </c>
      <c r="N33" s="583">
        <f>SUMIF($Z$28:$Z$29,"landbouw",N28:N29)</f>
        <v>0</v>
      </c>
      <c r="O33" s="583">
        <f>SUMIF($Z$28:$Z$29,"landbouw",O28:O29)</f>
        <v>0</v>
      </c>
      <c r="P33" s="583">
        <f>SUMIF($Z$28:$Z$29,"landbouw",P28:P29)</f>
        <v>0</v>
      </c>
      <c r="Q33" s="583">
        <f>SUMIF($Z$28:$Z$29,"landbouw",Q28:Q29)</f>
        <v>0</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0.57560447491880185</v>
      </c>
      <c r="C46" s="603">
        <f>IF(ISERROR(N30/(O30+N30)),0,N30/(N30+O30))</f>
        <v>0.4243955250811981</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174.6084446048358</v>
      </c>
      <c r="C49" s="612">
        <f t="shared" si="2"/>
        <v>0</v>
      </c>
      <c r="D49" s="612">
        <f t="shared" si="2"/>
        <v>0</v>
      </c>
      <c r="E49" s="612">
        <f t="shared" si="2"/>
        <v>0</v>
      </c>
      <c r="F49" s="612">
        <f t="shared" si="2"/>
        <v>47.744496571634784</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236.82012682373562</v>
      </c>
      <c r="C50" s="615">
        <f t="shared" si="3"/>
        <v>0</v>
      </c>
      <c r="D50" s="615">
        <f t="shared" si="3"/>
        <v>0</v>
      </c>
      <c r="E50" s="615">
        <f t="shared" si="3"/>
        <v>0</v>
      </c>
      <c r="F50" s="615">
        <f t="shared" si="3"/>
        <v>64.755503428365202</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2021-06-29T15:39:55Z</dcterms:modified>
</cp:coreProperties>
</file>