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N6" i="17" s="1"/>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6" i="17" l="1"/>
  <c r="B8" i="18"/>
  <c r="F13" i="15"/>
  <c r="B46" i="18"/>
  <c r="I50" i="18" s="1"/>
  <c r="H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C50" i="18" l="1"/>
  <c r="E50" i="18"/>
  <c r="E17" i="18" s="1"/>
  <c r="E20" i="18" s="1"/>
  <c r="I8" i="18"/>
  <c r="M77" i="14"/>
  <c r="M9" i="61" s="1"/>
  <c r="H78" i="14"/>
  <c r="H9" i="61"/>
  <c r="H10" i="61" s="1"/>
  <c r="O90" i="14"/>
  <c r="O18" i="61"/>
  <c r="O20" i="61" s="1"/>
  <c r="B88" i="14"/>
  <c r="B18" i="61" s="1"/>
  <c r="J17" i="18"/>
  <c r="H20" i="18"/>
  <c r="M87" i="14"/>
  <c r="J8" i="18"/>
  <c r="M76" i="14"/>
  <c r="H10" i="18"/>
  <c r="F87" i="14"/>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<sst xmlns="http://schemas.openxmlformats.org/spreadsheetml/2006/main" count="2501" uniqueCount="918">
  <si>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</si>
  <si>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</si>
  <si>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</si>
  <si>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</si>
  <si>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</si>
  <si>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</si>
  <si>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</si>
  <si>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</si>
  <si>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</si>
  <si>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</si>
  <si>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</si>
  <si>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</si>
  <si>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</si>
  <si>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</si>
  <si>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</si>
  <si>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</si>
  <si>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</si>
  <si>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</si>
  <si>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</si>
  <si>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</si>
  <si>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</si>
  <si>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</si>
  <si>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</si>
  <si>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</si>
  <si>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</si>
  <si>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</si>
  <si>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</si>
  <si>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</si>
  <si>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</si>
  <si>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</si>
  <si>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</si>
  <si>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</si>
  <si>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</si>
  <si>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</si>
  <si>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</si>
  <si>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</si>
  <si>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</si>
  <si>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</si>
  <si>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</si>
  <si>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</si>
  <si>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</si>
  <si>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</si>
  <si>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</si>
  <si>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</si>
  <si>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</si>
  <si>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</si>
  <si>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</si>
  <si>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</si>
  <si>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</si>
  <si>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</si>
  <si>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</si>
  <si>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</si>
  <si>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</si>
  <si>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</si>
  <si>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</si>
  <si>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</si>
  <si>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</si>
  <si>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</si>
  <si>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</si>
  <si>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</si>
  <si>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</si>
  <si>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</si>
  <si>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</si>
  <si>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</si>
  <si>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</si>
  <si>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</si>
  <si>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</si>
  <si>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</si>
  <si>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</si>
  <si>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</si>
  <si>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</si>
  <si>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</si>
  <si>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</si>
  <si>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</si>
  <si>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</si>
  <si>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</si>
  <si>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</si>
  <si>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</si>
  <si>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</si>
  <si>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</si>
  <si>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</si>
  <si>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</si>
  <si>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</si>
  <si>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</si>
  <si>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</si>
  <si>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</si>
  <si>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</si>
  <si>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</si>
  <si>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</si>
  <si>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</si>
  <si>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</si>
  <si>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</si>
  <si>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</si>
  <si>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</si>
  <si>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</si>
  <si>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</si>
  <si>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</si>
  <si>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</si>
  <si>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</si>
  <si>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</si>
  <si>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</si>
  <si>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</si>
  <si>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</si>
  <si>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</si>
  <si>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</si>
  <si>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</si>
  <si>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</si>
  <si>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</si>
  <si>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</si>
  <si>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</si>
  <si>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</si>
  <si>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</si>
  <si>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</si>
  <si>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</si>
  <si>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</si>
  <si>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</si>
  <si>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</si>
  <si>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</si>
  <si>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</si>
  <si>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</si>
  <si>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</si>
  <si>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</si>
  <si>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</si>
  <si>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</si>
  <si>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</si>
  <si>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</si>
  <si>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</si>
  <si>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</si>
  <si>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</si>
  <si>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</si>
  <si>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</si>
  <si>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</si>
  <si>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</si>
  <si>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</si>
  <si>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</si>
  <si>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</si>
  <si>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</si>
  <si>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</si>
  <si>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</si>
  <si>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</si>
  <si>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</si>
  <si>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</si>
  <si>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</si>
  <si>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</si>
  <si>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</si>
  <si>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</si>
  <si>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</si>
  <si>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</si>
  <si>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</si>
  <si>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</si>
  <si>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</si>
  <si>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</si>
  <si>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</si>
  <si>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</si>
  <si>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</si>
  <si>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</si>
  <si>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</si>
  <si>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</si>
  <si>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</si>
  <si>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</si>
  <si>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</si>
  <si>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</si>
  <si>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</si>
  <si>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</si>
  <si>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</si>
  <si>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</si>
  <si>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</si>
  <si>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</si>
  <si>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</si>
  <si>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</si>
  <si>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</si>
  <si>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</si>
  <si>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</si>
  <si>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</si>
  <si>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</si>
  <si>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</si>
  <si>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</si>
  <si>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</si>
  <si>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</si>
  <si>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</si>
  <si>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</si>
  <si>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</si>
  <si>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</si>
  <si>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</si>
  <si>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</si>
  <si>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</si>
  <si>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</si>
  <si>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</si>
  <si>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</si>
  <si>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</si>
  <si>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</si>
  <si>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</si>
  <si>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</si>
  <si>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</si>
  <si>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</si>
  <si>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</si>
  <si>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</si>
  <si>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</si>
  <si>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</si>
  <si>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</si>
  <si>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</si>
  <si>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</si>
  <si>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</si>
  <si>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</si>
  <si>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</si>
  <si>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</si>
  <si>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</si>
  <si>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</si>
  <si>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</si>
  <si>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</si>
  <si>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</si>
  <si>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</si>
  <si>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</si>
  <si>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</si>
  <si>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</si>
  <si>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</si>
  <si>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</si>
  <si>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</si>
  <si>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</si>
  <si>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</si>
  <si>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</si>
  <si>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</si>
  <si>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</si>
  <si>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</si>
  <si>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</si>
  <si>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</si>
  <si>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</si>
  <si>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</si>
  <si>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</si>
  <si>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</si>
  <si>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</si>
  <si>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</si>
  <si>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</si>
  <si>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</si>
  <si>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</si>
  <si>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</si>
  <si>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</si>
  <si>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</si>
  <si>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</si>
  <si>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</si>
  <si>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</si>
  <si>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</si>
  <si>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</si>
  <si>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</si>
  <si>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</si>
  <si>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</si>
  <si>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</si>
  <si>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</si>
  <si>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</si>
  <si>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</si>
  <si>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</si>
  <si>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</si>
  <si>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</si>
  <si>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</si>
  <si>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</si>
  <si>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</si>
  <si>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</si>
  <si>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</si>
  <si>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</si>
  <si>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</si>
  <si>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</si>
  <si>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</si>
  <si>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</si>
  <si>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</si>
  <si>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</si>
  <si>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</si>
  <si>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</si>
  <si>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</si>
  <si>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</si>
  <si>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</si>
  <si>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</si>
  <si>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</si>
  <si>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</si>
  <si>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</si>
  <si>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</si>
  <si>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</si>
  <si>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</si>
  <si>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</si>
  <si>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</si>
  <si>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</si>
  <si>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</si>
  <si>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</si>
  <si>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</si>
  <si>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</si>
  <si>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</si>
  <si>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</si>
  <si>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</si>
  <si>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</si>
  <si>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</si>
  <si>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</si>
  <si>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</si>
  <si>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</si>
  <si>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</si>
  <si>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</si>
  <si>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</si>
  <si>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</si>
  <si>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</si>
  <si>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</si>
  <si>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</si>
  <si>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</si>
  <si>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</si>
  <si>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</si>
  <si>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</si>
  <si>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</si>
  <si>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</si>
  <si>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</si>
  <si>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</si>
  <si>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</si>
  <si>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</si>
  <si>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</si>
  <si>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</si>
  <si>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</si>
  <si>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</si>
  <si>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</si>
  <si>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</si>
  <si>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</si>
  <si>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</si>
  <si>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</si>
  <si>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</si>
  <si>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</si>
  <si>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</si>
  <si>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</si>
  <si>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</si>
  <si>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</si>
  <si>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</si>
  <si>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</si>
  <si>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</si>
  <si>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</si>
  <si>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</si>
  <si>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</si>
  <si>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</si>
  <si>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</si>
  <si>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</si>
  <si>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</si>
  <si>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</si>
  <si>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</si>
  <si>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</si>
  <si>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</si>
  <si>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</si>
  <si>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</si>
  <si>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</si>
  <si>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</si>
  <si>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</si>
  <si>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</si>
  <si>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</si>
  <si>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</si>
  <si>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</si>
  <si>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</si>
  <si>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</si>
  <si>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</si>
  <si>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</si>
  <si>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</si>
  <si>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</si>
  <si>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</si>
  <si>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</si>
  <si>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</si>
  <si>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</si>
  <si>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</si>
  <si>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</si>
  <si>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</si>
  <si>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</si>
  <si>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</si>
  <si>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</si>
  <si>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</si>
  <si>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</si>
  <si>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</si>
  <si>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</si>
  <si>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</si>
  <si>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</si>
  <si>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</si>
  <si>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</si>
  <si>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</si>
  <si>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</si>
  <si>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</si>
  <si>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</si>
  <si>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</si>
  <si>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</si>
  <si>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</si>
  <si>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</si>
  <si>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</si>
  <si>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</si>
  <si>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</si>
  <si>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</si>
  <si>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</si>
  <si>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</si>
  <si>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</si>
  <si>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</si>
  <si>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</si>
  <si>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</si>
  <si>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</si>
  <si>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</si>
  <si>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</si>
  <si>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</si>
  <si>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</si>
  <si>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</si>
  <si>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</si>
  <si>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</si>
  <si>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</si>
  <si>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</si>
  <si>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</si>
  <si>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</si>
  <si>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</si>
  <si>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</si>
  <si>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</si>
  <si>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</si>
  <si>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</si>
  <si>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</si>
  <si>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</si>
  <si>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</si>
  <si>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</si>
  <si>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</si>
  <si>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</si>
  <si>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</si>
  <si>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</si>
  <si>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</si>
  <si>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</si>
  <si>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</si>
  <si>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</si>
  <si>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</si>
  <si>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</si>
  <si>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</si>
  <si>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</si>
  <si>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</si>
  <si>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</si>
  <si>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</si>
  <si>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</si>
  <si>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</si>
  <si>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</si>
  <si>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</si>
  <si>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</si>
  <si>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</si>
  <si>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</si>
  <si>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</si>
  <si>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</si>
  <si>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</si>
  <si>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</si>
  <si>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</si>
  <si>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</si>
  <si>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</si>
  <si>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</si>
  <si>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</si>
  <si>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</si>
  <si>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</si>
  <si>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</si>
  <si>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</si>
  <si>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</si>
  <si>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</si>
  <si>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</si>
  <si>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</si>
  <si>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</si>
  <si>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</si>
  <si>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</si>
  <si>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</si>
  <si>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</si>
  <si>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</si>
  <si>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</si>
  <si>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</si>
  <si>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</si>
  <si>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</si>
  <si>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</si>
  <si>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</si>
  <si>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</si>
  <si>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</si>
  <si>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</si>
  <si>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</si>
  <si>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</si>
  <si>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</si>
  <si>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</si>
  <si>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</si>
  <si>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</si>
  <si>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</si>
  <si>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</si>
  <si>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</si>
  <si>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</si>
  <si>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</si>
  <si>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</si>
  <si>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</si>
  <si>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</si>
  <si>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</si>
  <si>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</si>
  <si>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</si>
  <si>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</si>
  <si>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</si>
  <si>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</si>
  <si>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</si>
  <si>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</si>
  <si>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</si>
  <si>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</si>
  <si>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</si>
  <si>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</si>
  <si>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</si>
  <si>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</si>
  <si>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</si>
  <si>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</si>
  <si>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</si>
  <si>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</si>
  <si>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</si>
  <si>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</si>
  <si>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</si>
  <si>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</si>
  <si>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</si>
  <si>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</si>
  <si>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</si>
  <si>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</si>
  <si>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</si>
  <si>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</si>
  <si>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</si>
  <si>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</si>
  <si>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</si>
  <si>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</si>
  <si>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</si>
  <si>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</si>
  <si>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</si>
  <si>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</si>
  <si>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</si>
  <si>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</si>
  <si>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</si>
  <si>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</si>
  <si>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</si>
  <si>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</si>
  <si>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</si>
  <si>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</si>
  <si>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</si>
  <si>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</si>
  <si>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</si>
  <si>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</si>
  <si>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</si>
  <si>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</si>
  <si>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</si>
  <si>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</si>
  <si>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</si>
  <si>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</si>
  <si>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</si>
  <si>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</si>
  <si>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</si>
  <si>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</si>
  <si>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</si>
  <si>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</si>
  <si>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</si>
  <si>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</si>
  <si>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</si>
  <si>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</si>
  <si>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</si>
  <si>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</si>
  <si>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</si>
  <si>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</si>
  <si>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</si>
  <si>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</si>
  <si>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</si>
  <si>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</si>
  <si>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</si>
  <si>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</si>
  <si>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</si>
  <si>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</si>
  <si>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</si>
  <si>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</si>
  <si>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</si>
  <si>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</si>
  <si>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</si>
  <si>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</si>
  <si>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</si>
  <si>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</si>
  <si>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</si>
  <si>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</si>
  <si>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</si>
  <si>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</si>
  <si>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</si>
  <si>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</si>
  <si>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</si>
  <si>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</si>
  <si>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</si>
  <si>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</si>
  <si>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</si>
  <si>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</si>
  <si>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</si>
  <si>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</si>
  <si>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</si>
  <si>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</si>
  <si>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</si>
  <si>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</si>
  <si>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</si>
  <si>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</si>
  <si>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</si>
  <si>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</si>
  <si>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</si>
  <si>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</si>
  <si>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</si>
  <si>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</si>
  <si>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</si>
  <si>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</si>
  <si>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</si>
  <si>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</si>
  <si>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</si>
  <si>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</si>
  <si>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</si>
  <si>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</si>
  <si>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</si>
  <si>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</si>
  <si>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</si>
  <si>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</si>
  <si>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</si>
  <si>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</si>
  <si>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</si>
  <si>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</si>
  <si>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</si>
  <si>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</si>
  <si>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</si>
  <si>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</si>
  <si>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</si>
  <si>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</si>
  <si>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</si>
  <si>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</si>
  <si>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</si>
  <si>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</si>
  <si>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</si>
  <si>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</si>
  <si>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</si>
  <si>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</si>
  <si>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</si>
  <si>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</si>
  <si>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</si>
  <si>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</si>
  <si>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</si>
  <si>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</si>
  <si>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</si>
  <si>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</si>
  <si>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</si>
  <si>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</si>
  <si>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</si>
  <si>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</si>
  <si>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</si>
  <si>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</si>
  <si>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</si>
  <si>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</si>
  <si>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</si>
  <si>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</si>
  <si>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</si>
  <si>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</si>
  <si>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</si>
  <si>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</si>
  <si>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</si>
  <si>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</si>
  <si>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</si>
  <si>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</si>
  <si>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</si>
  <si>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</si>
  <si>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</si>
  <si>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</si>
  <si>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</si>
  <si>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</si>
  <si>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</si>
  <si>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</si>
  <si>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</si>
  <si>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</si>
  <si>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</si>
  <si>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</si>
  <si>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</si>
  <si>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</si>
  <si>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</si>
  <si>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</si>
  <si>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</si>
  <si>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</si>
  <si>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</si>
  <si>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</si>
  <si>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</si>
  <si>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</si>
  <si>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</si>
  <si>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</si>
  <si>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</si>
  <si>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</si>
  <si>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</si>
  <si>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</si>
  <si>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</si>
  <si>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</si>
  <si>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</si>
  <si>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</si>
  <si>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</si>
  <si>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</si>
  <si>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</si>
  <si>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</si>
  <si>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</si>
  <si>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</si>
  <si>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</si>
  <si>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</si>
  <si>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</si>
  <si>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</si>
  <si>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</si>
  <si>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</si>
  <si>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</si>
  <si>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</si>
  <si>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</si>
  <si>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</si>
  <si>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</si>
  <si>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</si>
  <si>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</si>
  <si>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</si>
  <si>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</si>
  <si>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</si>
  <si>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</si>
  <si>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</si>
  <si>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</si>
  <si>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</si>
  <si>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</si>
  <si>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</si>
  <si>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</si>
  <si>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</si>
  <si>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</si>
  <si>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</si>
  <si>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</si>
  <si>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</si>
  <si>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</si>
  <si>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</si>
  <si>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</si>
  <si>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</si>
  <si>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</si>
  <si>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</si>
  <si>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</si>
  <si>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</si>
  <si>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</si>
  <si>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</si>
  <si>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</si>
  <si>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</si>
  <si>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</si>
  <si>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</si>
  <si>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</si>
  <si>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</si>
  <si>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</si>
  <si>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</si>
  <si>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</si>
  <si>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</si>
  <si>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</si>
  <si>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</si>
  <si>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</si>
  <si>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</si>
  <si>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</si>
  <si>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</si>
  <si>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</si>
  <si>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</si>
  <si>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</si>
  <si>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</si>
  <si>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</si>
  <si>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</si>
  <si>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</si>
  <si>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</si>
  <si>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</si>
  <si>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</si>
  <si>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</si>
  <si>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</si>
  <si>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</si>
  <si>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</si>
  <si>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</si>
  <si>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</si>
  <si>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</si>
  <si>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</si>
  <si>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</si>
  <si>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</si>
  <si>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</si>
  <si>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</si>
  <si>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</si>
  <si>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</si>
  <si>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</si>
  <si>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</si>
  <si>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</si>
  <si>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</si>
  <si>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</si>
  <si>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</si>
  <si>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</si>
  <si>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</si>
  <si>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</si>
  <si>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</si>
  <si>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</si>
  <si>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</si>
  <si>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</si>
  <si>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</si>
  <si>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</si>
  <si>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</si>
  <si>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</si>
  <si>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</si>
  <si>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</si>
  <si>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</si>
  <si>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</si>
  <si>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</si>
  <si>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</si>
  <si>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</si>
  <si>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</si>
  <si>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</si>
  <si>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</si>
  <si>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</si>
  <si>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</si>
  <si>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</si>
  <si>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</si>
  <si>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</si>
  <si>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</si>
  <si>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</si>
  <si>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</si>
  <si>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</si>
  <si>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</si>
  <si>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</si>
  <si>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</si>
  <si>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</si>
  <si>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</si>
  <si>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</si>
  <si>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</si>
  <si>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</si>
  <si>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</si>
  <si>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</si>
  <si>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</si>
  <si>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</si>
  <si>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</si>
  <si>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</si>
  <si>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</si>
  <si>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</si>
  <si>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</si>
  <si>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</si>
  <si>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</si>
  <si>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</si>
  <si>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</si>
  <si>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</si>
  <si>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</si>
  <si>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</si>
  <si>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</si>
  <si>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</si>
  <si>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</si>
  <si>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</si>
  <si>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</si>
  <si>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</si>
  <si>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</si>
  <si>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</si>
  <si>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</si>
  <si>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</si>
  <si>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</si>
  <si>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</si>
  <si>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</si>
  <si>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</si>
  <si>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</si>
  <si>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</si>
  <si>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</si>
  <si>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</si>
  <si>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</si>
  <si>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</si>
  <si>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</si>
  <si>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</si>
  <si>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</si>
  <si>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</si>
  <si>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</si>
  <si>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</si>
  <si>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</si>
  <si>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</si>
  <si>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</si>
  <si>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</si>
  <si>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</si>
  <si>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</si>
  <si>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</si>
  <si>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</si>
  <si>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</si>
  <si>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</si>
  <si>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</si>
  <si>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</si>
  <si>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</si>
  <si>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</si>
  <si>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</si>
  <si>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</si>
  <si>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</si>
  <si>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</si>
  <si>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</si>
  <si>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</si>
  <si>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</si>
  <si>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</si>
  <si>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</si>
  <si>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</si>
  <si>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</si>
  <si>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</si>
  <si>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</si>
  <si>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</si>
  <si>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</si>
  <si>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</si>
  <si>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</si>
  <si>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</si>
  <si>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</si>
  <si>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</si>
  <si>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</si>
  <si>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</si>
  <si>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</si>
  <si>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</si>
  <si>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</si>
  <si>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</si>
  <si>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</si>
  <si>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</si>
  <si>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</si>
  <si>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</si>
  <si>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</si>
  <si>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</si>
  <si>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</si>
  <si>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</si>
  <si>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</si>
  <si>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</si>
  <si>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</si>
  <si>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</si>
  <si>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24062</t>
  </si>
  <si>
    <t>LEUVEN</t>
  </si>
  <si>
    <t>Fluvius</t>
  </si>
  <si>
    <t>referentietaak LNE (2017); Jaarverslag De Lijn</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</si>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</sst>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947356.57836713456</c:v>
                </c:pt>
                <c:pt idx="1">
                  <c:v>1098408.2359823433</c:v>
                </c:pt>
                <c:pt idx="2">
                  <c:v>5448.2659999999996</c:v>
                </c:pt>
                <c:pt idx="3">
                  <c:v>9737.7666685144122</c:v>
                </c:pt>
                <c:pt idx="4">
                  <c:v>267365.93586305704</c:v>
                </c:pt>
                <c:pt idx="5">
                  <c:v>576617.57905069459</c:v>
                </c:pt>
                <c:pt idx="6">
                  <c:v>24490.339996003891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947356.57836713456</c:v>
                </c:pt>
                <c:pt idx="1">
                  <c:v>1098408.2359823433</c:v>
                </c:pt>
                <c:pt idx="2">
                  <c:v>5448.2659999999996</c:v>
                </c:pt>
                <c:pt idx="3">
                  <c:v>9737.7666685144122</c:v>
                </c:pt>
                <c:pt idx="4">
                  <c:v>267365.93586305704</c:v>
                </c:pt>
                <c:pt idx="5">
                  <c:v>576617.57905069459</c:v>
                </c:pt>
                <c:pt idx="6">
                  <c:v>24490.339996003891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198517.52062382273</c:v>
                </c:pt>
                <c:pt idx="2">
                  <c:v>229359.71585429704</c:v>
                </c:pt>
                <c:pt idx="3">
                  <c:v>1181.1675907683118</c:v>
                </c:pt>
                <c:pt idx="4">
                  <c:v>2428.3409468019445</c:v>
                </c:pt>
                <c:pt idx="5">
                  <c:v>56382.360957345671</c:v>
                </c:pt>
                <c:pt idx="6">
                  <c:v>144291.18918317961</c:v>
                </c:pt>
                <c:pt idx="7">
                  <c:v>6174.1640593660532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198517.52062382273</c:v>
                </c:pt>
                <c:pt idx="2">
                  <c:v>229359.71585429704</c:v>
                </c:pt>
                <c:pt idx="3">
                  <c:v>1181.1675907683118</c:v>
                </c:pt>
                <c:pt idx="4">
                  <c:v>2428.3409468019445</c:v>
                </c:pt>
                <c:pt idx="5">
                  <c:v>56382.360957345671</c:v>
                </c:pt>
                <c:pt idx="6">
                  <c:v>144291.18918317961</c:v>
                </c:pt>
                <c:pt idx="7">
                  <c:v>6174.1640593660532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24062</v>
      </c>
      <c r="B6" s="384"/>
      <c r="C6" s="385"/>
    </row>
    <row r="7" spans="1:7" s="382" customFormat="1" ht="15.75" customHeight="1">
      <c r="A7" s="386" t="str">
        <f>txtMunicipality</f>
        <v>LEUVEN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480136.95646579232</v>
      </c>
      <c r="D10" s="973">
        <f ca="1">tertiair!C16</f>
        <v>72.604247104247108</v>
      </c>
      <c r="E10" s="973">
        <f ca="1">tertiair!D16</f>
        <v>526481.3454252563</v>
      </c>
      <c r="F10" s="973">
        <f>tertiair!E16</f>
        <v>5666.0331408111888</v>
      </c>
      <c r="G10" s="973">
        <f ca="1">tertiair!F16</f>
        <v>70396.663726422878</v>
      </c>
      <c r="H10" s="973">
        <f>tertiair!G16</f>
        <v>0</v>
      </c>
      <c r="I10" s="973">
        <f>tertiair!H16</f>
        <v>0</v>
      </c>
      <c r="J10" s="973">
        <f>tertiair!I16</f>
        <v>0</v>
      </c>
      <c r="K10" s="973">
        <f>tertiair!J16</f>
        <v>0.61959944618678664</v>
      </c>
      <c r="L10" s="973">
        <f>tertiair!K16</f>
        <v>0</v>
      </c>
      <c r="M10" s="973">
        <f ca="1">tertiair!L16</f>
        <v>0</v>
      </c>
      <c r="N10" s="973">
        <f>tertiair!M16</f>
        <v>0</v>
      </c>
      <c r="O10" s="973">
        <f ca="1">tertiair!N16</f>
        <v>20670.306044177258</v>
      </c>
      <c r="P10" s="973">
        <f>tertiair!O16</f>
        <v>12.506666666666668</v>
      </c>
      <c r="Q10" s="974">
        <f>tertiair!P16</f>
        <v>419.4666666666667</v>
      </c>
      <c r="R10" s="668">
        <f ca="1">SUM(C10:Q10)</f>
        <v>1103856.5019823434</v>
      </c>
      <c r="S10" s="67"/>
    </row>
    <row r="11" spans="1:19" s="441" customFormat="1">
      <c r="A11" s="777" t="s">
        <v>219</v>
      </c>
      <c r="B11" s="782"/>
      <c r="C11" s="973">
        <f>huishoudens!B8</f>
        <v>141924.52870249512</v>
      </c>
      <c r="D11" s="973">
        <f>huishoudens!C8</f>
        <v>0</v>
      </c>
      <c r="E11" s="973">
        <f>huishoudens!D8</f>
        <v>410760.40541802999</v>
      </c>
      <c r="F11" s="973">
        <f>huishoudens!E8</f>
        <v>12050.923187315009</v>
      </c>
      <c r="G11" s="973">
        <f>huishoudens!F8</f>
        <v>305316.37507406896</v>
      </c>
      <c r="H11" s="973">
        <f>huishoudens!G8</f>
        <v>0</v>
      </c>
      <c r="I11" s="973">
        <f>huishoudens!H8</f>
        <v>0</v>
      </c>
      <c r="J11" s="973">
        <f>huishoudens!I8</f>
        <v>0</v>
      </c>
      <c r="K11" s="973">
        <f>huishoudens!J8</f>
        <v>1469.1481430451338</v>
      </c>
      <c r="L11" s="973">
        <f>huishoudens!K8</f>
        <v>0</v>
      </c>
      <c r="M11" s="973">
        <f>huishoudens!L8</f>
        <v>0</v>
      </c>
      <c r="N11" s="973">
        <f>huishoudens!M8</f>
        <v>0</v>
      </c>
      <c r="O11" s="973">
        <f>huishoudens!N8</f>
        <v>72273.784508846918</v>
      </c>
      <c r="P11" s="973">
        <f>huishoudens!O8</f>
        <v>1025.5466666666669</v>
      </c>
      <c r="Q11" s="974">
        <f>huishoudens!P8</f>
        <v>2535.8666666666668</v>
      </c>
      <c r="R11" s="668">
        <f>SUM(C11:Q11)</f>
        <v>947356.57836713456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108334.46255445947</v>
      </c>
      <c r="D13" s="973">
        <f>industrie!C18</f>
        <v>0</v>
      </c>
      <c r="E13" s="973">
        <f>industrie!D18</f>
        <v>106760.50564495186</v>
      </c>
      <c r="F13" s="973">
        <f>industrie!E18</f>
        <v>10585.51486105708</v>
      </c>
      <c r="G13" s="973">
        <f>industrie!F18</f>
        <v>33209.014326830184</v>
      </c>
      <c r="H13" s="973">
        <f>industrie!G18</f>
        <v>0</v>
      </c>
      <c r="I13" s="973">
        <f>industrie!H18</f>
        <v>0</v>
      </c>
      <c r="J13" s="973">
        <f>industrie!I18</f>
        <v>0</v>
      </c>
      <c r="K13" s="973">
        <f>industrie!J18</f>
        <v>170.72398070395874</v>
      </c>
      <c r="L13" s="973">
        <f>industrie!K18</f>
        <v>0</v>
      </c>
      <c r="M13" s="973">
        <f>industrie!L18</f>
        <v>0</v>
      </c>
      <c r="N13" s="973">
        <f>industrie!M18</f>
        <v>0</v>
      </c>
      <c r="O13" s="973">
        <f>industrie!N18</f>
        <v>8305.7144950544352</v>
      </c>
      <c r="P13" s="973">
        <f>industrie!O18</f>
        <v>0</v>
      </c>
      <c r="Q13" s="974">
        <f>industrie!P18</f>
        <v>0</v>
      </c>
      <c r="R13" s="668">
        <f>SUM(C13:Q13)</f>
        <v>267365.93586305704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730395.94772274687</v>
      </c>
      <c r="D16" s="700">
        <f t="shared" ref="D16:R16" ca="1" si="0">SUM(D9:D15)</f>
        <v>72.604247104247108</v>
      </c>
      <c r="E16" s="700">
        <f t="shared" ca="1" si="0"/>
        <v>1044002.2564882381</v>
      </c>
      <c r="F16" s="700">
        <f t="shared" si="0"/>
        <v>28302.471189183278</v>
      </c>
      <c r="G16" s="700">
        <f t="shared" ca="1" si="0"/>
        <v>408922.053127322</v>
      </c>
      <c r="H16" s="700">
        <f t="shared" si="0"/>
        <v>0</v>
      </c>
      <c r="I16" s="700">
        <f t="shared" si="0"/>
        <v>0</v>
      </c>
      <c r="J16" s="700">
        <f t="shared" si="0"/>
        <v>0</v>
      </c>
      <c r="K16" s="700">
        <f t="shared" si="0"/>
        <v>1640.4917231952793</v>
      </c>
      <c r="L16" s="700">
        <f t="shared" si="0"/>
        <v>0</v>
      </c>
      <c r="M16" s="700">
        <f t="shared" ca="1" si="0"/>
        <v>0</v>
      </c>
      <c r="N16" s="700">
        <f t="shared" si="0"/>
        <v>0</v>
      </c>
      <c r="O16" s="700">
        <f t="shared" ca="1" si="0"/>
        <v>101249.8050480786</v>
      </c>
      <c r="P16" s="700">
        <f t="shared" si="0"/>
        <v>1038.0533333333335</v>
      </c>
      <c r="Q16" s="700">
        <f t="shared" si="0"/>
        <v>2955.3333333333335</v>
      </c>
      <c r="R16" s="700">
        <f t="shared" ca="1" si="0"/>
        <v>2318579.0162125351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244.04971183522528</v>
      </c>
      <c r="D19" s="973">
        <f>transport!C54</f>
        <v>0</v>
      </c>
      <c r="E19" s="973">
        <f>transport!D54</f>
        <v>0</v>
      </c>
      <c r="F19" s="973">
        <f>transport!E54</f>
        <v>0</v>
      </c>
      <c r="G19" s="973">
        <f>transport!F54</f>
        <v>0</v>
      </c>
      <c r="H19" s="973">
        <f>transport!G54</f>
        <v>22926.048014821663</v>
      </c>
      <c r="I19" s="973">
        <f>transport!H54</f>
        <v>0</v>
      </c>
      <c r="J19" s="973">
        <f>transport!I54</f>
        <v>0</v>
      </c>
      <c r="K19" s="973">
        <f>transport!J54</f>
        <v>0</v>
      </c>
      <c r="L19" s="973">
        <f>transport!K54</f>
        <v>0</v>
      </c>
      <c r="M19" s="973">
        <f>transport!L54</f>
        <v>0</v>
      </c>
      <c r="N19" s="973">
        <f>transport!M54</f>
        <v>1320.242269347003</v>
      </c>
      <c r="O19" s="973">
        <f>transport!N54</f>
        <v>0</v>
      </c>
      <c r="P19" s="973">
        <f>transport!O54</f>
        <v>0</v>
      </c>
      <c r="Q19" s="974">
        <f>transport!P54</f>
        <v>0</v>
      </c>
      <c r="R19" s="668">
        <f>SUM(C19:Q19)</f>
        <v>24490.339996003891</v>
      </c>
      <c r="S19" s="67"/>
    </row>
    <row r="20" spans="1:19" s="441" customFormat="1">
      <c r="A20" s="777" t="s">
        <v>301</v>
      </c>
      <c r="B20" s="782"/>
      <c r="C20" s="973">
        <f>transport!B14</f>
        <v>396.22347582479</v>
      </c>
      <c r="D20" s="973">
        <f>transport!C14</f>
        <v>0</v>
      </c>
      <c r="E20" s="973">
        <f>transport!D14</f>
        <v>621.74310301973526</v>
      </c>
      <c r="F20" s="973">
        <f>transport!E14</f>
        <v>1202.3061133157173</v>
      </c>
      <c r="G20" s="973">
        <f>transport!F14</f>
        <v>0</v>
      </c>
      <c r="H20" s="973">
        <f>transport!G14</f>
        <v>443359.63714592333</v>
      </c>
      <c r="I20" s="973">
        <f>transport!H14</f>
        <v>102127.51172484508</v>
      </c>
      <c r="J20" s="973">
        <f>transport!I14</f>
        <v>0</v>
      </c>
      <c r="K20" s="973">
        <f>transport!J14</f>
        <v>0</v>
      </c>
      <c r="L20" s="973">
        <f>transport!K14</f>
        <v>0</v>
      </c>
      <c r="M20" s="973">
        <f>transport!L14</f>
        <v>0</v>
      </c>
      <c r="N20" s="973">
        <f>transport!M14</f>
        <v>28910.15748776598</v>
      </c>
      <c r="O20" s="973">
        <f>transport!N14</f>
        <v>0</v>
      </c>
      <c r="P20" s="973">
        <f>transport!O14</f>
        <v>0</v>
      </c>
      <c r="Q20" s="974">
        <f>transport!P14</f>
        <v>0</v>
      </c>
      <c r="R20" s="668">
        <f>SUM(C20:Q20)</f>
        <v>576617.57905069459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640.27318766001531</v>
      </c>
      <c r="D22" s="780">
        <f t="shared" ref="D22:R22" si="1">SUM(D18:D21)</f>
        <v>0</v>
      </c>
      <c r="E22" s="780">
        <f t="shared" si="1"/>
        <v>621.74310301973526</v>
      </c>
      <c r="F22" s="780">
        <f t="shared" si="1"/>
        <v>1202.3061133157173</v>
      </c>
      <c r="G22" s="780">
        <f t="shared" si="1"/>
        <v>0</v>
      </c>
      <c r="H22" s="780">
        <f t="shared" si="1"/>
        <v>466285.68516074499</v>
      </c>
      <c r="I22" s="780">
        <f t="shared" si="1"/>
        <v>102127.51172484508</v>
      </c>
      <c r="J22" s="780">
        <f t="shared" si="1"/>
        <v>0</v>
      </c>
      <c r="K22" s="780">
        <f t="shared" si="1"/>
        <v>0</v>
      </c>
      <c r="L22" s="780">
        <f t="shared" si="1"/>
        <v>0</v>
      </c>
      <c r="M22" s="780">
        <f t="shared" si="1"/>
        <v>0</v>
      </c>
      <c r="N22" s="780">
        <f t="shared" si="1"/>
        <v>30230.399757112984</v>
      </c>
      <c r="O22" s="780">
        <f t="shared" si="1"/>
        <v>0</v>
      </c>
      <c r="P22" s="780">
        <f t="shared" si="1"/>
        <v>0</v>
      </c>
      <c r="Q22" s="780">
        <f t="shared" si="1"/>
        <v>0</v>
      </c>
      <c r="R22" s="780">
        <f t="shared" si="1"/>
        <v>601107.91904669849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1496.1157851918531</v>
      </c>
      <c r="D24" s="973">
        <f>+landbouw!C8</f>
        <v>0</v>
      </c>
      <c r="E24" s="973">
        <f>+landbouw!D8</f>
        <v>1748.1829076550553</v>
      </c>
      <c r="F24" s="973">
        <f>+landbouw!E8</f>
        <v>43.975412591834129</v>
      </c>
      <c r="G24" s="973">
        <f>+landbouw!F8</f>
        <v>6232.7375152556388</v>
      </c>
      <c r="H24" s="973">
        <f>+landbouw!G8</f>
        <v>0</v>
      </c>
      <c r="I24" s="973">
        <f>+landbouw!H8</f>
        <v>0</v>
      </c>
      <c r="J24" s="973">
        <f>+landbouw!I8</f>
        <v>0</v>
      </c>
      <c r="K24" s="973">
        <f>+landbouw!J8</f>
        <v>216.75504782003031</v>
      </c>
      <c r="L24" s="973">
        <f>+landbouw!K8</f>
        <v>0</v>
      </c>
      <c r="M24" s="973">
        <f>+landbouw!L8</f>
        <v>0</v>
      </c>
      <c r="N24" s="973">
        <f>+landbouw!M8</f>
        <v>0</v>
      </c>
      <c r="O24" s="973">
        <f>+landbouw!N8</f>
        <v>0</v>
      </c>
      <c r="P24" s="973">
        <f>+landbouw!O8</f>
        <v>0</v>
      </c>
      <c r="Q24" s="974">
        <f>+landbouw!P8</f>
        <v>0</v>
      </c>
      <c r="R24" s="668">
        <f>SUM(C24:Q24)</f>
        <v>9737.7666685144122</v>
      </c>
      <c r="S24" s="67"/>
    </row>
    <row r="25" spans="1:19" s="441" customFormat="1" ht="15" thickBot="1">
      <c r="A25" s="799" t="s">
        <v>808</v>
      </c>
      <c r="B25" s="976"/>
      <c r="C25" s="977">
        <f>IF(Onbekend_ele_kWh="---",0,Onbekend_ele_kWh)/1000+IF(REST_rest_ele_kWh="---",0,REST_rest_ele_kWh)/1000</f>
        <v>11225.564970216099</v>
      </c>
      <c r="D25" s="977"/>
      <c r="E25" s="977">
        <f>IF(onbekend_gas_kWh="---",0,onbekend_gas_kWh)/1000+IF(REST_rest_gas_kWh="---",0,REST_rest_gas_kWh)/1000</f>
        <v>38316.069032374595</v>
      </c>
      <c r="F25" s="977"/>
      <c r="G25" s="977"/>
      <c r="H25" s="977"/>
      <c r="I25" s="977"/>
      <c r="J25" s="977"/>
      <c r="K25" s="977"/>
      <c r="L25" s="977"/>
      <c r="M25" s="977"/>
      <c r="N25" s="977"/>
      <c r="O25" s="977"/>
      <c r="P25" s="977"/>
      <c r="Q25" s="978"/>
      <c r="R25" s="668">
        <f>SUM(C25:Q25)</f>
        <v>49541.634002590697</v>
      </c>
      <c r="S25" s="67"/>
    </row>
    <row r="26" spans="1:19" s="441" customFormat="1" ht="15.75" thickBot="1">
      <c r="A26" s="673" t="s">
        <v>809</v>
      </c>
      <c r="B26" s="785"/>
      <c r="C26" s="780">
        <f>SUM(C24:C25)</f>
        <v>12721.680755407951</v>
      </c>
      <c r="D26" s="780">
        <f t="shared" ref="D26:R26" si="2">SUM(D24:D25)</f>
        <v>0</v>
      </c>
      <c r="E26" s="780">
        <f t="shared" si="2"/>
        <v>40064.251940029651</v>
      </c>
      <c r="F26" s="780">
        <f t="shared" si="2"/>
        <v>43.975412591834129</v>
      </c>
      <c r="G26" s="780">
        <f t="shared" si="2"/>
        <v>6232.7375152556388</v>
      </c>
      <c r="H26" s="780">
        <f t="shared" si="2"/>
        <v>0</v>
      </c>
      <c r="I26" s="780">
        <f t="shared" si="2"/>
        <v>0</v>
      </c>
      <c r="J26" s="780">
        <f t="shared" si="2"/>
        <v>0</v>
      </c>
      <c r="K26" s="780">
        <f t="shared" si="2"/>
        <v>216.75504782003031</v>
      </c>
      <c r="L26" s="780">
        <f t="shared" si="2"/>
        <v>0</v>
      </c>
      <c r="M26" s="780">
        <f t="shared" si="2"/>
        <v>0</v>
      </c>
      <c r="N26" s="780">
        <f t="shared" si="2"/>
        <v>0</v>
      </c>
      <c r="O26" s="780">
        <f t="shared" si="2"/>
        <v>0</v>
      </c>
      <c r="P26" s="780">
        <f t="shared" si="2"/>
        <v>0</v>
      </c>
      <c r="Q26" s="780">
        <f t="shared" si="2"/>
        <v>0</v>
      </c>
      <c r="R26" s="780">
        <f t="shared" si="2"/>
        <v>59279.400671105112</v>
      </c>
      <c r="S26" s="67"/>
    </row>
    <row r="27" spans="1:19" s="441" customFormat="1" ht="17.25" thickTop="1" thickBot="1">
      <c r="A27" s="674" t="s">
        <v>115</v>
      </c>
      <c r="B27" s="773"/>
      <c r="C27" s="675">
        <f ca="1">C22+C16+C26</f>
        <v>743757.9016658148</v>
      </c>
      <c r="D27" s="675">
        <f t="shared" ref="D27:R27" ca="1" si="3">D22+D16+D26</f>
        <v>72.604247104247108</v>
      </c>
      <c r="E27" s="675">
        <f t="shared" ca="1" si="3"/>
        <v>1084688.2515312876</v>
      </c>
      <c r="F27" s="675">
        <f t="shared" si="3"/>
        <v>29548.752715090828</v>
      </c>
      <c r="G27" s="675">
        <f t="shared" ca="1" si="3"/>
        <v>415154.79064257763</v>
      </c>
      <c r="H27" s="675">
        <f t="shared" si="3"/>
        <v>466285.68516074499</v>
      </c>
      <c r="I27" s="675">
        <f t="shared" si="3"/>
        <v>102127.51172484508</v>
      </c>
      <c r="J27" s="675">
        <f t="shared" si="3"/>
        <v>0</v>
      </c>
      <c r="K27" s="675">
        <f t="shared" si="3"/>
        <v>1857.2467710153096</v>
      </c>
      <c r="L27" s="675">
        <f t="shared" si="3"/>
        <v>0</v>
      </c>
      <c r="M27" s="675">
        <f t="shared" ca="1" si="3"/>
        <v>0</v>
      </c>
      <c r="N27" s="675">
        <f t="shared" si="3"/>
        <v>30230.399757112984</v>
      </c>
      <c r="O27" s="675">
        <f t="shared" ca="1" si="3"/>
        <v>101249.8050480786</v>
      </c>
      <c r="P27" s="675">
        <f t="shared" si="3"/>
        <v>1038.0533333333335</v>
      </c>
      <c r="Q27" s="675">
        <f t="shared" si="3"/>
        <v>2955.3333333333335</v>
      </c>
      <c r="R27" s="675">
        <f t="shared" ca="1" si="3"/>
        <v>2978966.3359303386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104092.24000948737</v>
      </c>
      <c r="D40" s="973">
        <f ca="1">tertiair!C20</f>
        <v>17.093583553182018</v>
      </c>
      <c r="E40" s="973">
        <f ca="1">tertiair!D20</f>
        <v>106349.23177590178</v>
      </c>
      <c r="F40" s="973">
        <f>tertiair!E20</f>
        <v>1286.18952296414</v>
      </c>
      <c r="G40" s="973">
        <f ca="1">tertiair!F20</f>
        <v>18795.909214954911</v>
      </c>
      <c r="H40" s="973">
        <f>tertiair!G20</f>
        <v>0</v>
      </c>
      <c r="I40" s="973">
        <f>tertiair!H20</f>
        <v>0</v>
      </c>
      <c r="J40" s="973">
        <f>tertiair!I20</f>
        <v>0</v>
      </c>
      <c r="K40" s="973">
        <f>tertiair!J20</f>
        <v>0.21933820395012246</v>
      </c>
      <c r="L40" s="973">
        <f>tertiair!K20</f>
        <v>0</v>
      </c>
      <c r="M40" s="973">
        <f ca="1">tertiair!L20</f>
        <v>0</v>
      </c>
      <c r="N40" s="973">
        <f>tertiair!M20</f>
        <v>0</v>
      </c>
      <c r="O40" s="973">
        <f ca="1">tertiair!N20</f>
        <v>0</v>
      </c>
      <c r="P40" s="973">
        <f>tertiair!O20</f>
        <v>0</v>
      </c>
      <c r="Q40" s="742">
        <f>tertiair!P20</f>
        <v>0</v>
      </c>
      <c r="R40" s="818">
        <f t="shared" ca="1" si="4"/>
        <v>230540.88344506535</v>
      </c>
    </row>
    <row r="41" spans="1:18">
      <c r="A41" s="790" t="s">
        <v>219</v>
      </c>
      <c r="B41" s="797"/>
      <c r="C41" s="973">
        <f ca="1">huishoudens!B12</f>
        <v>30768.808578445747</v>
      </c>
      <c r="D41" s="973">
        <f ca="1">huishoudens!C12</f>
        <v>0</v>
      </c>
      <c r="E41" s="973">
        <f>huishoudens!D12</f>
        <v>82973.601894442065</v>
      </c>
      <c r="F41" s="973">
        <f>huishoudens!E12</f>
        <v>2735.5595635205073</v>
      </c>
      <c r="G41" s="973">
        <f>huishoudens!F12</f>
        <v>81519.472144776417</v>
      </c>
      <c r="H41" s="973">
        <f>huishoudens!G12</f>
        <v>0</v>
      </c>
      <c r="I41" s="973">
        <f>huishoudens!H12</f>
        <v>0</v>
      </c>
      <c r="J41" s="973">
        <f>huishoudens!I12</f>
        <v>0</v>
      </c>
      <c r="K41" s="973">
        <f>huishoudens!J12</f>
        <v>520.07844263797733</v>
      </c>
      <c r="L41" s="973">
        <f>huishoudens!K12</f>
        <v>0</v>
      </c>
      <c r="M41" s="973">
        <f>huishoudens!L12</f>
        <v>0</v>
      </c>
      <c r="N41" s="973">
        <f>huishoudens!M12</f>
        <v>0</v>
      </c>
      <c r="O41" s="973">
        <f>huishoudens!N12</f>
        <v>0</v>
      </c>
      <c r="P41" s="973">
        <f>huishoudens!O12</f>
        <v>0</v>
      </c>
      <c r="Q41" s="742">
        <f>huishoudens!P12</f>
        <v>0</v>
      </c>
      <c r="R41" s="818">
        <f t="shared" ca="1" si="4"/>
        <v>198517.52062382273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23486.583829172585</v>
      </c>
      <c r="D43" s="973">
        <f ca="1">industrie!C22</f>
        <v>0</v>
      </c>
      <c r="E43" s="973">
        <f>industrie!D22</f>
        <v>21565.622140280277</v>
      </c>
      <c r="F43" s="973">
        <f>industrie!E22</f>
        <v>2402.911873459957</v>
      </c>
      <c r="G43" s="973">
        <f>industrie!F22</f>
        <v>8866.8068252636604</v>
      </c>
      <c r="H43" s="973">
        <f>industrie!G22</f>
        <v>0</v>
      </c>
      <c r="I43" s="973">
        <f>industrie!H22</f>
        <v>0</v>
      </c>
      <c r="J43" s="973">
        <f>industrie!I22</f>
        <v>0</v>
      </c>
      <c r="K43" s="973">
        <f>industrie!J22</f>
        <v>60.436289169201395</v>
      </c>
      <c r="L43" s="973">
        <f>industrie!K22</f>
        <v>0</v>
      </c>
      <c r="M43" s="973">
        <f>industrie!L22</f>
        <v>0</v>
      </c>
      <c r="N43" s="973">
        <f>industrie!M22</f>
        <v>0</v>
      </c>
      <c r="O43" s="973">
        <f>industrie!N22</f>
        <v>0</v>
      </c>
      <c r="P43" s="973">
        <f>industrie!O22</f>
        <v>0</v>
      </c>
      <c r="Q43" s="742">
        <f>industrie!P22</f>
        <v>0</v>
      </c>
      <c r="R43" s="817">
        <f t="shared" ca="1" si="4"/>
        <v>56382.360957345671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158347.63241710572</v>
      </c>
      <c r="D46" s="700">
        <f t="shared" ref="D46:Q46" ca="1" si="5">SUM(D39:D45)</f>
        <v>17.093583553182018</v>
      </c>
      <c r="E46" s="700">
        <f t="shared" ca="1" si="5"/>
        <v>210888.45581062412</v>
      </c>
      <c r="F46" s="700">
        <f t="shared" si="5"/>
        <v>6424.6609599446037</v>
      </c>
      <c r="G46" s="700">
        <f t="shared" ca="1" si="5"/>
        <v>109182.18818499499</v>
      </c>
      <c r="H46" s="700">
        <f t="shared" si="5"/>
        <v>0</v>
      </c>
      <c r="I46" s="700">
        <f t="shared" si="5"/>
        <v>0</v>
      </c>
      <c r="J46" s="700">
        <f t="shared" si="5"/>
        <v>0</v>
      </c>
      <c r="K46" s="700">
        <f t="shared" si="5"/>
        <v>580.73407001112878</v>
      </c>
      <c r="L46" s="700">
        <f t="shared" si="5"/>
        <v>0</v>
      </c>
      <c r="M46" s="700">
        <f t="shared" ca="1" si="5"/>
        <v>0</v>
      </c>
      <c r="N46" s="700">
        <f t="shared" si="5"/>
        <v>0</v>
      </c>
      <c r="O46" s="700">
        <f t="shared" ca="1" si="5"/>
        <v>0</v>
      </c>
      <c r="P46" s="700">
        <f t="shared" si="5"/>
        <v>0</v>
      </c>
      <c r="Q46" s="700">
        <f t="shared" si="5"/>
        <v>0</v>
      </c>
      <c r="R46" s="700">
        <f ca="1">SUM(R39:R45)</f>
        <v>485440.76502623374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52.909239408669443</v>
      </c>
      <c r="D49" s="973">
        <f ca="1">transport!C58</f>
        <v>0</v>
      </c>
      <c r="E49" s="973">
        <f>transport!D58</f>
        <v>0</v>
      </c>
      <c r="F49" s="973">
        <f>transport!E58</f>
        <v>0</v>
      </c>
      <c r="G49" s="973">
        <f>transport!F58</f>
        <v>0</v>
      </c>
      <c r="H49" s="973">
        <f>transport!G58</f>
        <v>6121.2548199573839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6174.1640593660532</v>
      </c>
    </row>
    <row r="50" spans="1:18">
      <c r="A50" s="793" t="s">
        <v>301</v>
      </c>
      <c r="B50" s="803"/>
      <c r="C50" s="671">
        <f ca="1">transport!B18</f>
        <v>85.900051199007848</v>
      </c>
      <c r="D50" s="671">
        <f>transport!C18</f>
        <v>0</v>
      </c>
      <c r="E50" s="671">
        <f>transport!D18</f>
        <v>125.59210680998653</v>
      </c>
      <c r="F50" s="671">
        <f>transport!E18</f>
        <v>272.92348772266786</v>
      </c>
      <c r="G50" s="671">
        <f>transport!F18</f>
        <v>0</v>
      </c>
      <c r="H50" s="671">
        <f>transport!G18</f>
        <v>118377.02311796154</v>
      </c>
      <c r="I50" s="671">
        <f>transport!H18</f>
        <v>25429.750419486427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144291.18918317961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138.8092906076773</v>
      </c>
      <c r="D52" s="700">
        <f t="shared" ref="D52:Q52" ca="1" si="6">SUM(D48:D51)</f>
        <v>0</v>
      </c>
      <c r="E52" s="700">
        <f t="shared" si="6"/>
        <v>125.59210680998653</v>
      </c>
      <c r="F52" s="700">
        <f t="shared" si="6"/>
        <v>272.92348772266786</v>
      </c>
      <c r="G52" s="700">
        <f t="shared" si="6"/>
        <v>0</v>
      </c>
      <c r="H52" s="700">
        <f t="shared" si="6"/>
        <v>124498.27793791892</v>
      </c>
      <c r="I52" s="700">
        <f t="shared" si="6"/>
        <v>25429.750419486427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150465.35324254565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324.35337729573087</v>
      </c>
      <c r="D54" s="671">
        <f ca="1">+landbouw!C12</f>
        <v>0</v>
      </c>
      <c r="E54" s="671">
        <f>+landbouw!D12</f>
        <v>353.1329473463212</v>
      </c>
      <c r="F54" s="671">
        <f>+landbouw!E12</f>
        <v>9.9824186583463472</v>
      </c>
      <c r="G54" s="671">
        <f>+landbouw!F12</f>
        <v>1664.1409165732557</v>
      </c>
      <c r="H54" s="671">
        <f>+landbouw!G12</f>
        <v>0</v>
      </c>
      <c r="I54" s="671">
        <f>+landbouw!H12</f>
        <v>0</v>
      </c>
      <c r="J54" s="671">
        <f>+landbouw!I12</f>
        <v>0</v>
      </c>
      <c r="K54" s="671">
        <f>+landbouw!J12</f>
        <v>76.731286928290729</v>
      </c>
      <c r="L54" s="671">
        <f>+landbouw!K12</f>
        <v>0</v>
      </c>
      <c r="M54" s="671">
        <f>+landbouw!L12</f>
        <v>0</v>
      </c>
      <c r="N54" s="671">
        <f>+landbouw!M12</f>
        <v>0</v>
      </c>
      <c r="O54" s="671">
        <f>+landbouw!N12</f>
        <v>0</v>
      </c>
      <c r="P54" s="671">
        <f>+landbouw!O12</f>
        <v>0</v>
      </c>
      <c r="Q54" s="672">
        <f>+landbouw!P12</f>
        <v>0</v>
      </c>
      <c r="R54" s="699">
        <f ca="1">SUM(C54:Q54)</f>
        <v>2428.3409468019445</v>
      </c>
    </row>
    <row r="55" spans="1:18" ht="15" thickBot="1">
      <c r="A55" s="793" t="s">
        <v>808</v>
      </c>
      <c r="B55" s="803"/>
      <c r="C55" s="671">
        <f ca="1">C25*'EF ele_warmte'!B12</f>
        <v>2433.6685343342829</v>
      </c>
      <c r="D55" s="671"/>
      <c r="E55" s="671">
        <f>E25*EF_CO2_aardgas</f>
        <v>7739.8459445396684</v>
      </c>
      <c r="F55" s="671"/>
      <c r="G55" s="671"/>
      <c r="H55" s="671"/>
      <c r="I55" s="671"/>
      <c r="J55" s="671"/>
      <c r="K55" s="671"/>
      <c r="L55" s="671"/>
      <c r="M55" s="671"/>
      <c r="N55" s="671"/>
      <c r="O55" s="671"/>
      <c r="P55" s="671"/>
      <c r="Q55" s="672"/>
      <c r="R55" s="699">
        <f ca="1">SUM(C55:Q55)</f>
        <v>10173.514478873951</v>
      </c>
    </row>
    <row r="56" spans="1:18" ht="15.75" thickBot="1">
      <c r="A56" s="791" t="s">
        <v>809</v>
      </c>
      <c r="B56" s="804"/>
      <c r="C56" s="700">
        <f ca="1">SUM(C54:C55)</f>
        <v>2758.0219116300136</v>
      </c>
      <c r="D56" s="700">
        <f t="shared" ref="D56:Q56" ca="1" si="7">SUM(D54:D55)</f>
        <v>0</v>
      </c>
      <c r="E56" s="700">
        <f t="shared" si="7"/>
        <v>8092.9788918859895</v>
      </c>
      <c r="F56" s="700">
        <f t="shared" si="7"/>
        <v>9.9824186583463472</v>
      </c>
      <c r="G56" s="700">
        <f t="shared" si="7"/>
        <v>1664.1409165732557</v>
      </c>
      <c r="H56" s="700">
        <f t="shared" si="7"/>
        <v>0</v>
      </c>
      <c r="I56" s="700">
        <f t="shared" si="7"/>
        <v>0</v>
      </c>
      <c r="J56" s="700">
        <f t="shared" si="7"/>
        <v>0</v>
      </c>
      <c r="K56" s="700">
        <f t="shared" si="7"/>
        <v>76.731286928290729</v>
      </c>
      <c r="L56" s="700">
        <f t="shared" si="7"/>
        <v>0</v>
      </c>
      <c r="M56" s="700">
        <f t="shared" si="7"/>
        <v>0</v>
      </c>
      <c r="N56" s="700">
        <f t="shared" si="7"/>
        <v>0</v>
      </c>
      <c r="O56" s="700">
        <f t="shared" si="7"/>
        <v>0</v>
      </c>
      <c r="P56" s="700">
        <f t="shared" si="7"/>
        <v>0</v>
      </c>
      <c r="Q56" s="701">
        <f t="shared" si="7"/>
        <v>0</v>
      </c>
      <c r="R56" s="702">
        <f ca="1">SUM(R54:R55)</f>
        <v>12601.855425675894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161244.46361934338</v>
      </c>
      <c r="D61" s="708">
        <f t="shared" ref="D61:Q61" ca="1" si="8">D46+D52+D56</f>
        <v>17.093583553182018</v>
      </c>
      <c r="E61" s="708">
        <f t="shared" ca="1" si="8"/>
        <v>219107.02680932009</v>
      </c>
      <c r="F61" s="708">
        <f t="shared" si="8"/>
        <v>6707.5668663256183</v>
      </c>
      <c r="G61" s="708">
        <f t="shared" ca="1" si="8"/>
        <v>110846.32910156825</v>
      </c>
      <c r="H61" s="708">
        <f t="shared" si="8"/>
        <v>124498.27793791892</v>
      </c>
      <c r="I61" s="708">
        <f t="shared" si="8"/>
        <v>25429.750419486427</v>
      </c>
      <c r="J61" s="708">
        <f t="shared" si="8"/>
        <v>0</v>
      </c>
      <c r="K61" s="708">
        <f t="shared" si="8"/>
        <v>657.46535693941951</v>
      </c>
      <c r="L61" s="708">
        <f t="shared" si="8"/>
        <v>0</v>
      </c>
      <c r="M61" s="708">
        <f t="shared" ca="1" si="8"/>
        <v>0</v>
      </c>
      <c r="N61" s="708">
        <f t="shared" si="8"/>
        <v>0</v>
      </c>
      <c r="O61" s="708">
        <f t="shared" ca="1" si="8"/>
        <v>0</v>
      </c>
      <c r="P61" s="708">
        <f t="shared" si="8"/>
        <v>0</v>
      </c>
      <c r="Q61" s="708">
        <f t="shared" si="8"/>
        <v>0</v>
      </c>
      <c r="R61" s="708">
        <f ca="1">R46+R52+R56</f>
        <v>648507.97369445523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0.21679697554567121</v>
      </c>
      <c r="D63" s="749">
        <f t="shared" ca="1" si="9"/>
        <v>0.23543503630908252</v>
      </c>
      <c r="E63" s="984">
        <f t="shared" ca="1" si="9"/>
        <v>0.20200000000000001</v>
      </c>
      <c r="F63" s="749">
        <f t="shared" si="9"/>
        <v>0.22700000000000001</v>
      </c>
      <c r="G63" s="749">
        <f t="shared" ca="1" si="9"/>
        <v>0.26700000000000007</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12744.262211068753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50.800000000000004</v>
      </c>
      <c r="D76" s="994">
        <f>'lokale energieproductie'!C8</f>
        <v>59.208415071789062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11.960099844501391</v>
      </c>
      <c r="R76" s="820">
        <v>0</v>
      </c>
    </row>
    <row r="77" spans="1:18" ht="30.75" thickBot="1">
      <c r="A77" s="721" t="s">
        <v>345</v>
      </c>
      <c r="B77" s="718">
        <f>'lokale energieproductie'!B9*IFERROR(SUM(I77:O77)/SUM(D77:O77),0)</f>
        <v>1404</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4011.4285714285716</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14148.262211068753</v>
      </c>
      <c r="C78" s="723">
        <f>SUM(C72:C77)</f>
        <v>50.800000000000004</v>
      </c>
      <c r="D78" s="724">
        <f t="shared" ref="D78:H78" si="10">SUM(D76:D77)</f>
        <v>59.208415071789062</v>
      </c>
      <c r="E78" s="724">
        <f t="shared" si="10"/>
        <v>0</v>
      </c>
      <c r="F78" s="724">
        <f t="shared" si="10"/>
        <v>0</v>
      </c>
      <c r="G78" s="724">
        <f t="shared" si="10"/>
        <v>0</v>
      </c>
      <c r="H78" s="724">
        <f t="shared" si="10"/>
        <v>0</v>
      </c>
      <c r="I78" s="724">
        <f>SUM(I76:I77)</f>
        <v>0</v>
      </c>
      <c r="J78" s="724">
        <f>SUM(J76:J77)</f>
        <v>4011.4285714285716</v>
      </c>
      <c r="K78" s="724">
        <f t="shared" ref="K78:L78" si="11">SUM(K76:K77)</f>
        <v>0</v>
      </c>
      <c r="L78" s="724">
        <f t="shared" si="11"/>
        <v>0</v>
      </c>
      <c r="M78" s="724">
        <f>SUM(M76:M77)</f>
        <v>0</v>
      </c>
      <c r="N78" s="724">
        <f>SUM(N76:N77)</f>
        <v>0</v>
      </c>
      <c r="O78" s="828">
        <f>SUM(O76:O77)</f>
        <v>0</v>
      </c>
      <c r="P78" s="725">
        <v>0</v>
      </c>
      <c r="Q78" s="725">
        <f>SUM(Q76:Q77)</f>
        <v>11.960099844501391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72.604247104247108</v>
      </c>
      <c r="D87" s="745">
        <f>'lokale energieproductie'!C17</f>
        <v>84.62170075832681</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17.093583553182018</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72.604247104247108</v>
      </c>
      <c r="D90" s="723">
        <f t="shared" ref="D90:H90" si="12">SUM(D87:D89)</f>
        <v>84.62170075832681</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17.093583553182018</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141924.52870249512</v>
      </c>
      <c r="C4" s="445">
        <f>huishoudens!C8</f>
        <v>0</v>
      </c>
      <c r="D4" s="445">
        <f>huishoudens!D8</f>
        <v>410760.40541802999</v>
      </c>
      <c r="E4" s="445">
        <f>huishoudens!E8</f>
        <v>12050.923187315009</v>
      </c>
      <c r="F4" s="445">
        <f>huishoudens!F8</f>
        <v>305316.37507406896</v>
      </c>
      <c r="G4" s="445">
        <f>huishoudens!G8</f>
        <v>0</v>
      </c>
      <c r="H4" s="445">
        <f>huishoudens!H8</f>
        <v>0</v>
      </c>
      <c r="I4" s="445">
        <f>huishoudens!I8</f>
        <v>0</v>
      </c>
      <c r="J4" s="445">
        <f>huishoudens!J8</f>
        <v>1469.1481430451338</v>
      </c>
      <c r="K4" s="445">
        <f>huishoudens!K8</f>
        <v>0</v>
      </c>
      <c r="L4" s="445">
        <f>huishoudens!L8</f>
        <v>0</v>
      </c>
      <c r="M4" s="445">
        <f>huishoudens!M8</f>
        <v>0</v>
      </c>
      <c r="N4" s="445">
        <f>huishoudens!N8</f>
        <v>72273.784508846918</v>
      </c>
      <c r="O4" s="445">
        <f>huishoudens!O8</f>
        <v>1025.5466666666669</v>
      </c>
      <c r="P4" s="446">
        <f>huishoudens!P8</f>
        <v>2535.8666666666668</v>
      </c>
      <c r="Q4" s="447">
        <f>SUM(B4:P4)</f>
        <v>947356.57836713456</v>
      </c>
    </row>
    <row r="5" spans="1:17">
      <c r="A5" s="444" t="s">
        <v>155</v>
      </c>
      <c r="B5" s="445">
        <f ca="1">tertiair!B16</f>
        <v>474688.69046579232</v>
      </c>
      <c r="C5" s="445">
        <f ca="1">tertiair!C16</f>
        <v>72.604247104247108</v>
      </c>
      <c r="D5" s="445">
        <f ca="1">tertiair!D16</f>
        <v>526481.3454252563</v>
      </c>
      <c r="E5" s="445">
        <f>tertiair!E16</f>
        <v>5666.0331408111888</v>
      </c>
      <c r="F5" s="445">
        <f ca="1">tertiair!F16</f>
        <v>70396.663726422878</v>
      </c>
      <c r="G5" s="445">
        <f>tertiair!G16</f>
        <v>0</v>
      </c>
      <c r="H5" s="445">
        <f>tertiair!H16</f>
        <v>0</v>
      </c>
      <c r="I5" s="445">
        <f>tertiair!I16</f>
        <v>0</v>
      </c>
      <c r="J5" s="445">
        <f>tertiair!J16</f>
        <v>0.61959944618678664</v>
      </c>
      <c r="K5" s="445">
        <f>tertiair!K16</f>
        <v>0</v>
      </c>
      <c r="L5" s="445">
        <f ca="1">tertiair!L16</f>
        <v>0</v>
      </c>
      <c r="M5" s="445">
        <f>tertiair!M16</f>
        <v>0</v>
      </c>
      <c r="N5" s="445">
        <f ca="1">tertiair!N16</f>
        <v>20670.306044177258</v>
      </c>
      <c r="O5" s="445">
        <f>tertiair!O16</f>
        <v>12.506666666666668</v>
      </c>
      <c r="P5" s="446">
        <f>tertiair!P16</f>
        <v>419.4666666666667</v>
      </c>
      <c r="Q5" s="444">
        <f t="shared" ref="Q5:Q14" ca="1" si="0">SUM(B5:P5)</f>
        <v>1098408.2359823433</v>
      </c>
    </row>
    <row r="6" spans="1:17">
      <c r="A6" s="444" t="s">
        <v>193</v>
      </c>
      <c r="B6" s="445">
        <f>'openbare verlichting'!B8</f>
        <v>5448.2659999999996</v>
      </c>
      <c r="C6" s="445"/>
      <c r="D6" s="445"/>
      <c r="E6" s="445"/>
      <c r="F6" s="445"/>
      <c r="G6" s="445"/>
      <c r="H6" s="445"/>
      <c r="I6" s="445"/>
      <c r="J6" s="445"/>
      <c r="K6" s="445"/>
      <c r="L6" s="445"/>
      <c r="M6" s="445"/>
      <c r="N6" s="445"/>
      <c r="O6" s="445"/>
      <c r="P6" s="446"/>
      <c r="Q6" s="444">
        <f t="shared" si="0"/>
        <v>5448.2659999999996</v>
      </c>
    </row>
    <row r="7" spans="1:17">
      <c r="A7" s="444" t="s">
        <v>111</v>
      </c>
      <c r="B7" s="445">
        <f>landbouw!B8</f>
        <v>1496.1157851918531</v>
      </c>
      <c r="C7" s="445">
        <f>landbouw!C8</f>
        <v>0</v>
      </c>
      <c r="D7" s="445">
        <f>landbouw!D8</f>
        <v>1748.1829076550553</v>
      </c>
      <c r="E7" s="445">
        <f>landbouw!E8</f>
        <v>43.975412591834129</v>
      </c>
      <c r="F7" s="445">
        <f>landbouw!F8</f>
        <v>6232.7375152556388</v>
      </c>
      <c r="G7" s="445">
        <f>landbouw!G8</f>
        <v>0</v>
      </c>
      <c r="H7" s="445">
        <f>landbouw!H8</f>
        <v>0</v>
      </c>
      <c r="I7" s="445">
        <f>landbouw!I8</f>
        <v>0</v>
      </c>
      <c r="J7" s="445">
        <f>landbouw!J8</f>
        <v>216.75504782003031</v>
      </c>
      <c r="K7" s="445">
        <f>landbouw!K8</f>
        <v>0</v>
      </c>
      <c r="L7" s="445">
        <f>landbouw!L8</f>
        <v>0</v>
      </c>
      <c r="M7" s="445">
        <f>landbouw!M8</f>
        <v>0</v>
      </c>
      <c r="N7" s="445">
        <f>landbouw!N8</f>
        <v>0</v>
      </c>
      <c r="O7" s="445">
        <f>landbouw!O8</f>
        <v>0</v>
      </c>
      <c r="P7" s="446">
        <f>landbouw!P8</f>
        <v>0</v>
      </c>
      <c r="Q7" s="444">
        <f t="shared" si="0"/>
        <v>9737.7666685144122</v>
      </c>
    </row>
    <row r="8" spans="1:17">
      <c r="A8" s="444" t="s">
        <v>627</v>
      </c>
      <c r="B8" s="445">
        <f>industrie!B18</f>
        <v>108334.46255445947</v>
      </c>
      <c r="C8" s="445">
        <f>industrie!C18</f>
        <v>0</v>
      </c>
      <c r="D8" s="445">
        <f>industrie!D18</f>
        <v>106760.50564495186</v>
      </c>
      <c r="E8" s="445">
        <f>industrie!E18</f>
        <v>10585.51486105708</v>
      </c>
      <c r="F8" s="445">
        <f>industrie!F18</f>
        <v>33209.014326830184</v>
      </c>
      <c r="G8" s="445">
        <f>industrie!G18</f>
        <v>0</v>
      </c>
      <c r="H8" s="445">
        <f>industrie!H18</f>
        <v>0</v>
      </c>
      <c r="I8" s="445">
        <f>industrie!I18</f>
        <v>0</v>
      </c>
      <c r="J8" s="445">
        <f>industrie!J18</f>
        <v>170.72398070395874</v>
      </c>
      <c r="K8" s="445">
        <f>industrie!K18</f>
        <v>0</v>
      </c>
      <c r="L8" s="445">
        <f>industrie!L18</f>
        <v>0</v>
      </c>
      <c r="M8" s="445">
        <f>industrie!M18</f>
        <v>0</v>
      </c>
      <c r="N8" s="445">
        <f>industrie!N18</f>
        <v>8305.7144950544352</v>
      </c>
      <c r="O8" s="445">
        <f>industrie!O18</f>
        <v>0</v>
      </c>
      <c r="P8" s="446">
        <f>industrie!P18</f>
        <v>0</v>
      </c>
      <c r="Q8" s="444">
        <f t="shared" si="0"/>
        <v>267365.93586305704</v>
      </c>
    </row>
    <row r="9" spans="1:17" s="450" customFormat="1">
      <c r="A9" s="448" t="s">
        <v>553</v>
      </c>
      <c r="B9" s="449">
        <f>transport!B14</f>
        <v>396.22347582479</v>
      </c>
      <c r="C9" s="449">
        <f>transport!C14</f>
        <v>0</v>
      </c>
      <c r="D9" s="449">
        <f>transport!D14</f>
        <v>621.74310301973526</v>
      </c>
      <c r="E9" s="449">
        <f>transport!E14</f>
        <v>1202.3061133157173</v>
      </c>
      <c r="F9" s="449">
        <f>transport!F14</f>
        <v>0</v>
      </c>
      <c r="G9" s="449">
        <f>transport!G14</f>
        <v>443359.63714592333</v>
      </c>
      <c r="H9" s="449">
        <f>transport!H14</f>
        <v>102127.51172484508</v>
      </c>
      <c r="I9" s="449">
        <f>transport!I14</f>
        <v>0</v>
      </c>
      <c r="J9" s="449">
        <f>transport!J14</f>
        <v>0</v>
      </c>
      <c r="K9" s="449">
        <f>transport!K14</f>
        <v>0</v>
      </c>
      <c r="L9" s="449">
        <f>transport!L14</f>
        <v>0</v>
      </c>
      <c r="M9" s="449">
        <f>transport!M14</f>
        <v>28910.15748776598</v>
      </c>
      <c r="N9" s="449">
        <f>transport!N14</f>
        <v>0</v>
      </c>
      <c r="O9" s="449">
        <f>transport!O14</f>
        <v>0</v>
      </c>
      <c r="P9" s="449">
        <f>transport!P14</f>
        <v>0</v>
      </c>
      <c r="Q9" s="448">
        <f>SUM(B9:P9)</f>
        <v>576617.57905069459</v>
      </c>
    </row>
    <row r="10" spans="1:17">
      <c r="A10" s="444" t="s">
        <v>543</v>
      </c>
      <c r="B10" s="445">
        <f>transport!B54</f>
        <v>244.04971183522528</v>
      </c>
      <c r="C10" s="445">
        <f>transport!C54</f>
        <v>0</v>
      </c>
      <c r="D10" s="445">
        <f>transport!D54</f>
        <v>0</v>
      </c>
      <c r="E10" s="445">
        <f>transport!E54</f>
        <v>0</v>
      </c>
      <c r="F10" s="445">
        <f>transport!F54</f>
        <v>0</v>
      </c>
      <c r="G10" s="445">
        <f>transport!G54</f>
        <v>22926.048014821663</v>
      </c>
      <c r="H10" s="445">
        <f>transport!H54</f>
        <v>0</v>
      </c>
      <c r="I10" s="445">
        <f>transport!I54</f>
        <v>0</v>
      </c>
      <c r="J10" s="445">
        <f>transport!J54</f>
        <v>0</v>
      </c>
      <c r="K10" s="445">
        <f>transport!K54</f>
        <v>0</v>
      </c>
      <c r="L10" s="445">
        <f>transport!L54</f>
        <v>0</v>
      </c>
      <c r="M10" s="445">
        <f>transport!M54</f>
        <v>1320.242269347003</v>
      </c>
      <c r="N10" s="445">
        <f>transport!N54</f>
        <v>0</v>
      </c>
      <c r="O10" s="445">
        <f>transport!O54</f>
        <v>0</v>
      </c>
      <c r="P10" s="446">
        <f>transport!P54</f>
        <v>0</v>
      </c>
      <c r="Q10" s="444">
        <f t="shared" si="0"/>
        <v>24490.339996003891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11225.564970216099</v>
      </c>
      <c r="C14" s="452"/>
      <c r="D14" s="452">
        <f>'SEAP template'!E25</f>
        <v>38316.069032374595</v>
      </c>
      <c r="E14" s="452"/>
      <c r="F14" s="452"/>
      <c r="G14" s="452"/>
      <c r="H14" s="452"/>
      <c r="I14" s="452"/>
      <c r="J14" s="452"/>
      <c r="K14" s="452"/>
      <c r="L14" s="452"/>
      <c r="M14" s="452"/>
      <c r="N14" s="452"/>
      <c r="O14" s="452"/>
      <c r="P14" s="453"/>
      <c r="Q14" s="444">
        <f t="shared" si="0"/>
        <v>49541.634002590697</v>
      </c>
    </row>
    <row r="15" spans="1:17" s="454" customFormat="1">
      <c r="A15" s="999" t="s">
        <v>547</v>
      </c>
      <c r="B15" s="947">
        <f ca="1">SUM(B4:B14)</f>
        <v>743757.90166581492</v>
      </c>
      <c r="C15" s="947">
        <f t="shared" ref="C15:Q15" ca="1" si="1">SUM(C4:C14)</f>
        <v>72.604247104247108</v>
      </c>
      <c r="D15" s="947">
        <f t="shared" ca="1" si="1"/>
        <v>1084688.2515312876</v>
      </c>
      <c r="E15" s="947">
        <f t="shared" si="1"/>
        <v>29548.752715090828</v>
      </c>
      <c r="F15" s="947">
        <f t="shared" ca="1" si="1"/>
        <v>415154.79064257763</v>
      </c>
      <c r="G15" s="947">
        <f t="shared" si="1"/>
        <v>466285.68516074499</v>
      </c>
      <c r="H15" s="947">
        <f t="shared" si="1"/>
        <v>102127.51172484508</v>
      </c>
      <c r="I15" s="947">
        <f t="shared" si="1"/>
        <v>0</v>
      </c>
      <c r="J15" s="947">
        <f t="shared" si="1"/>
        <v>1857.2467710153096</v>
      </c>
      <c r="K15" s="947">
        <f t="shared" si="1"/>
        <v>0</v>
      </c>
      <c r="L15" s="947">
        <f t="shared" ca="1" si="1"/>
        <v>0</v>
      </c>
      <c r="M15" s="947">
        <f t="shared" si="1"/>
        <v>30230.399757112984</v>
      </c>
      <c r="N15" s="947">
        <f t="shared" ca="1" si="1"/>
        <v>101249.8050480786</v>
      </c>
      <c r="O15" s="947">
        <f t="shared" si="1"/>
        <v>1038.0533333333335</v>
      </c>
      <c r="P15" s="947">
        <f t="shared" si="1"/>
        <v>2955.3333333333335</v>
      </c>
      <c r="Q15" s="947">
        <f t="shared" ca="1" si="1"/>
        <v>2978966.3359303386</v>
      </c>
    </row>
    <row r="17" spans="1:17">
      <c r="A17" s="455" t="s">
        <v>548</v>
      </c>
      <c r="B17" s="754">
        <f ca="1">huishoudens!B10</f>
        <v>0.21679697554567121</v>
      </c>
      <c r="C17" s="754">
        <f ca="1">huishoudens!C10</f>
        <v>0.23543503630908252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30768.808578445747</v>
      </c>
      <c r="C22" s="445">
        <f t="shared" ref="C22:C32" ca="1" si="3">C4*$C$17</f>
        <v>0</v>
      </c>
      <c r="D22" s="445">
        <f t="shared" ref="D22:D32" si="4">D4*$D$17</f>
        <v>82973.601894442065</v>
      </c>
      <c r="E22" s="445">
        <f t="shared" ref="E22:E32" si="5">E4*$E$17</f>
        <v>2735.5595635205073</v>
      </c>
      <c r="F22" s="445">
        <f t="shared" ref="F22:F32" si="6">F4*$F$17</f>
        <v>81519.472144776417</v>
      </c>
      <c r="G22" s="445">
        <f t="shared" ref="G22:G32" si="7">G4*$G$17</f>
        <v>0</v>
      </c>
      <c r="H22" s="445">
        <f t="shared" ref="H22:H32" si="8">H4*$H$17</f>
        <v>0</v>
      </c>
      <c r="I22" s="445">
        <f t="shared" ref="I22:I32" si="9">I4*$I$17</f>
        <v>0</v>
      </c>
      <c r="J22" s="445">
        <f t="shared" ref="J22:J32" si="10">J4*$J$17</f>
        <v>520.07844263797733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198517.52062382273</v>
      </c>
    </row>
    <row r="23" spans="1:17">
      <c r="A23" s="444" t="s">
        <v>155</v>
      </c>
      <c r="B23" s="445">
        <f t="shared" ca="1" si="2"/>
        <v>102911.07241871906</v>
      </c>
      <c r="C23" s="445">
        <f t="shared" ca="1" si="3"/>
        <v>17.093583553182018</v>
      </c>
      <c r="D23" s="445">
        <f t="shared" ca="1" si="4"/>
        <v>106349.23177590178</v>
      </c>
      <c r="E23" s="445">
        <f t="shared" si="5"/>
        <v>1286.18952296414</v>
      </c>
      <c r="F23" s="445">
        <f t="shared" ca="1" si="6"/>
        <v>18795.909214954911</v>
      </c>
      <c r="G23" s="445">
        <f t="shared" si="7"/>
        <v>0</v>
      </c>
      <c r="H23" s="445">
        <f t="shared" si="8"/>
        <v>0</v>
      </c>
      <c r="I23" s="445">
        <f t="shared" si="9"/>
        <v>0</v>
      </c>
      <c r="J23" s="445">
        <f t="shared" si="10"/>
        <v>0.21933820395012246</v>
      </c>
      <c r="K23" s="445">
        <f t="shared" si="11"/>
        <v>0</v>
      </c>
      <c r="L23" s="445">
        <f t="shared" ca="1" si="12"/>
        <v>0</v>
      </c>
      <c r="M23" s="445">
        <f t="shared" si="13"/>
        <v>0</v>
      </c>
      <c r="N23" s="445">
        <f t="shared" ca="1" si="14"/>
        <v>0</v>
      </c>
      <c r="O23" s="445">
        <f t="shared" si="15"/>
        <v>0</v>
      </c>
      <c r="P23" s="446">
        <f t="shared" si="16"/>
        <v>0</v>
      </c>
      <c r="Q23" s="444">
        <f t="shared" ref="Q23:Q32" ca="1" si="17">SUM(B23:P23)</f>
        <v>229359.71585429704</v>
      </c>
    </row>
    <row r="24" spans="1:17">
      <c r="A24" s="444" t="s">
        <v>193</v>
      </c>
      <c r="B24" s="445">
        <f t="shared" ca="1" si="2"/>
        <v>1181.1675907683118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1181.1675907683118</v>
      </c>
    </row>
    <row r="25" spans="1:17">
      <c r="A25" s="444" t="s">
        <v>111</v>
      </c>
      <c r="B25" s="445">
        <f t="shared" ca="1" si="2"/>
        <v>324.35337729573087</v>
      </c>
      <c r="C25" s="445">
        <f t="shared" ca="1" si="3"/>
        <v>0</v>
      </c>
      <c r="D25" s="445">
        <f t="shared" si="4"/>
        <v>353.1329473463212</v>
      </c>
      <c r="E25" s="445">
        <f t="shared" si="5"/>
        <v>9.9824186583463472</v>
      </c>
      <c r="F25" s="445">
        <f t="shared" si="6"/>
        <v>1664.1409165732557</v>
      </c>
      <c r="G25" s="445">
        <f t="shared" si="7"/>
        <v>0</v>
      </c>
      <c r="H25" s="445">
        <f t="shared" si="8"/>
        <v>0</v>
      </c>
      <c r="I25" s="445">
        <f t="shared" si="9"/>
        <v>0</v>
      </c>
      <c r="J25" s="445">
        <f t="shared" si="10"/>
        <v>76.731286928290729</v>
      </c>
      <c r="K25" s="445">
        <f t="shared" si="11"/>
        <v>0</v>
      </c>
      <c r="L25" s="445">
        <f t="shared" si="12"/>
        <v>0</v>
      </c>
      <c r="M25" s="445">
        <f t="shared" si="13"/>
        <v>0</v>
      </c>
      <c r="N25" s="445">
        <f t="shared" si="14"/>
        <v>0</v>
      </c>
      <c r="O25" s="445">
        <f t="shared" si="15"/>
        <v>0</v>
      </c>
      <c r="P25" s="446">
        <f t="shared" si="16"/>
        <v>0</v>
      </c>
      <c r="Q25" s="444">
        <f t="shared" ca="1" si="17"/>
        <v>2428.3409468019445</v>
      </c>
    </row>
    <row r="26" spans="1:17">
      <c r="A26" s="444" t="s">
        <v>627</v>
      </c>
      <c r="B26" s="445">
        <f t="shared" ca="1" si="2"/>
        <v>23486.583829172585</v>
      </c>
      <c r="C26" s="445">
        <f t="shared" ca="1" si="3"/>
        <v>0</v>
      </c>
      <c r="D26" s="445">
        <f t="shared" si="4"/>
        <v>21565.622140280277</v>
      </c>
      <c r="E26" s="445">
        <f t="shared" si="5"/>
        <v>2402.911873459957</v>
      </c>
      <c r="F26" s="445">
        <f t="shared" si="6"/>
        <v>8866.8068252636604</v>
      </c>
      <c r="G26" s="445">
        <f t="shared" si="7"/>
        <v>0</v>
      </c>
      <c r="H26" s="445">
        <f t="shared" si="8"/>
        <v>0</v>
      </c>
      <c r="I26" s="445">
        <f t="shared" si="9"/>
        <v>0</v>
      </c>
      <c r="J26" s="445">
        <f t="shared" si="10"/>
        <v>60.436289169201395</v>
      </c>
      <c r="K26" s="445">
        <f t="shared" si="11"/>
        <v>0</v>
      </c>
      <c r="L26" s="445">
        <f t="shared" si="12"/>
        <v>0</v>
      </c>
      <c r="M26" s="445">
        <f t="shared" si="13"/>
        <v>0</v>
      </c>
      <c r="N26" s="445">
        <f t="shared" si="14"/>
        <v>0</v>
      </c>
      <c r="O26" s="445">
        <f t="shared" si="15"/>
        <v>0</v>
      </c>
      <c r="P26" s="446">
        <f t="shared" si="16"/>
        <v>0</v>
      </c>
      <c r="Q26" s="444">
        <f t="shared" ca="1" si="17"/>
        <v>56382.360957345671</v>
      </c>
    </row>
    <row r="27" spans="1:17" s="450" customFormat="1">
      <c r="A27" s="448" t="s">
        <v>553</v>
      </c>
      <c r="B27" s="748">
        <f t="shared" ca="1" si="2"/>
        <v>85.900051199007848</v>
      </c>
      <c r="C27" s="449">
        <f t="shared" ca="1" si="3"/>
        <v>0</v>
      </c>
      <c r="D27" s="449">
        <f t="shared" si="4"/>
        <v>125.59210680998653</v>
      </c>
      <c r="E27" s="449">
        <f t="shared" si="5"/>
        <v>272.92348772266786</v>
      </c>
      <c r="F27" s="449">
        <f t="shared" si="6"/>
        <v>0</v>
      </c>
      <c r="G27" s="449">
        <f t="shared" si="7"/>
        <v>118377.02311796154</v>
      </c>
      <c r="H27" s="449">
        <f t="shared" si="8"/>
        <v>25429.750419486427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144291.18918317961</v>
      </c>
    </row>
    <row r="28" spans="1:17">
      <c r="A28" s="444" t="s">
        <v>543</v>
      </c>
      <c r="B28" s="445">
        <f t="shared" ca="1" si="2"/>
        <v>52.909239408669443</v>
      </c>
      <c r="C28" s="445">
        <f t="shared" ca="1" si="3"/>
        <v>0</v>
      </c>
      <c r="D28" s="445">
        <f t="shared" si="4"/>
        <v>0</v>
      </c>
      <c r="E28" s="445">
        <f t="shared" si="5"/>
        <v>0</v>
      </c>
      <c r="F28" s="445">
        <f t="shared" si="6"/>
        <v>0</v>
      </c>
      <c r="G28" s="445">
        <f t="shared" si="7"/>
        <v>6121.2548199573839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6174.1640593660532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2433.6685343342829</v>
      </c>
      <c r="C32" s="445">
        <f t="shared" ca="1" si="3"/>
        <v>0</v>
      </c>
      <c r="D32" s="445">
        <f t="shared" si="4"/>
        <v>7739.8459445396684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10173.514478873951</v>
      </c>
    </row>
    <row r="33" spans="1:17" s="454" customFormat="1">
      <c r="A33" s="999" t="s">
        <v>547</v>
      </c>
      <c r="B33" s="947">
        <f ca="1">SUM(B22:B32)</f>
        <v>161244.46361934344</v>
      </c>
      <c r="C33" s="947">
        <f t="shared" ref="C33:Q33" ca="1" si="18">SUM(C22:C32)</f>
        <v>17.093583553182018</v>
      </c>
      <c r="D33" s="947">
        <f t="shared" ca="1" si="18"/>
        <v>219107.02680932009</v>
      </c>
      <c r="E33" s="947">
        <f t="shared" si="18"/>
        <v>6707.5668663256183</v>
      </c>
      <c r="F33" s="947">
        <f t="shared" ca="1" si="18"/>
        <v>110846.32910156825</v>
      </c>
      <c r="G33" s="947">
        <f t="shared" si="18"/>
        <v>124498.27793791892</v>
      </c>
      <c r="H33" s="947">
        <f t="shared" si="18"/>
        <v>25429.750419486427</v>
      </c>
      <c r="I33" s="947">
        <f t="shared" si="18"/>
        <v>0</v>
      </c>
      <c r="J33" s="947">
        <f t="shared" si="18"/>
        <v>657.46535693941951</v>
      </c>
      <c r="K33" s="947">
        <f t="shared" si="18"/>
        <v>0</v>
      </c>
      <c r="L33" s="947">
        <f t="shared" ca="1" si="18"/>
        <v>0</v>
      </c>
      <c r="M33" s="947">
        <f t="shared" si="18"/>
        <v>0</v>
      </c>
      <c r="N33" s="947">
        <f t="shared" ca="1" si="18"/>
        <v>0</v>
      </c>
      <c r="O33" s="947">
        <f t="shared" si="18"/>
        <v>0</v>
      </c>
      <c r="P33" s="947">
        <f t="shared" si="18"/>
        <v>0</v>
      </c>
      <c r="Q33" s="947">
        <f t="shared" ca="1" si="18"/>
        <v>648507.97369445534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12744.262211068753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50.800000000000004</v>
      </c>
      <c r="D8" s="1016">
        <f>'SEAP template'!D76</f>
        <v>59.208415071789062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11.960099844501391</v>
      </c>
    </row>
    <row r="9" spans="1:16">
      <c r="A9" s="1019" t="s">
        <v>825</v>
      </c>
      <c r="B9" s="1016">
        <f>'SEAP template'!B77</f>
        <v>1404</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4011.4285714285716</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14148.262211068753</v>
      </c>
      <c r="C10" s="1020">
        <f>SUM(C4:C9)</f>
        <v>50.800000000000004</v>
      </c>
      <c r="D10" s="1020">
        <f t="shared" ref="D10:H10" si="0">SUM(D8:D9)</f>
        <v>59.208415071789062</v>
      </c>
      <c r="E10" s="1020">
        <f t="shared" si="0"/>
        <v>0</v>
      </c>
      <c r="F10" s="1020">
        <f t="shared" si="0"/>
        <v>0</v>
      </c>
      <c r="G10" s="1020">
        <f t="shared" si="0"/>
        <v>0</v>
      </c>
      <c r="H10" s="1020">
        <f t="shared" si="0"/>
        <v>0</v>
      </c>
      <c r="I10" s="1020">
        <f>SUM(I8:I9)</f>
        <v>0</v>
      </c>
      <c r="J10" s="1020">
        <f>SUM(J8:J9)</f>
        <v>4011.4285714285716</v>
      </c>
      <c r="K10" s="1020">
        <f t="shared" ref="K10:L10" si="1">SUM(K8:K9)</f>
        <v>0</v>
      </c>
      <c r="L10" s="1020">
        <f t="shared" si="1"/>
        <v>0</v>
      </c>
      <c r="M10" s="1020">
        <f>SUM(M8:M9)</f>
        <v>0</v>
      </c>
      <c r="N10" s="1020">
        <f>SUM(N8:N9)</f>
        <v>0</v>
      </c>
      <c r="O10" s="1020">
        <f>SUM(O8:O9)</f>
        <v>0</v>
      </c>
      <c r="P10" s="1020">
        <f>SUM(P8:P9)</f>
        <v>11.960099844501391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0.21679697554567121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72.604247104247108</v>
      </c>
      <c r="D17" s="1017">
        <f>'SEAP template'!D87</f>
        <v>84.62170075832681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17.093583553182018</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72.604247104247108</v>
      </c>
      <c r="D20" s="1020">
        <f t="shared" ref="D20:H20" si="2">SUM(D17:D19)</f>
        <v>84.62170075832681</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17.093583553182018</v>
      </c>
    </row>
    <row r="22" spans="1:16">
      <c r="A22" s="455" t="s">
        <v>833</v>
      </c>
      <c r="B22" s="754" t="s">
        <v>827</v>
      </c>
      <c r="C22" s="754">
        <f ca="1">'EF ele_warmte'!B22</f>
        <v>0.23543503630908252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0.21679697554567121</v>
      </c>
      <c r="C17" s="492">
        <f ca="1">'EF ele_warmte'!B22</f>
        <v>0.23543503630908252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0.21679697554567121</v>
      </c>
      <c r="C17" s="492">
        <f ca="1">'EF ele_warmte'!B22</f>
        <v>0.23543503630908252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0.21679697554567121</v>
      </c>
      <c r="C29" s="493">
        <f ca="1">'EF ele_warmte'!B22</f>
        <v>0.23543503630908252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48854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1080.4100000000001</v>
      </c>
      <c r="C14" s="324"/>
      <c r="D14" s="324"/>
      <c r="E14" s="324"/>
      <c r="F14" s="324"/>
    </row>
    <row r="15" spans="1:6">
      <c r="A15" s="1291" t="s">
        <v>183</v>
      </c>
      <c r="B15" s="1292">
        <v>3</v>
      </c>
      <c r="C15" s="324"/>
      <c r="D15" s="324"/>
      <c r="E15" s="324"/>
      <c r="F15" s="324"/>
    </row>
    <row r="16" spans="1:6">
      <c r="A16" s="1291" t="s">
        <v>6</v>
      </c>
      <c r="B16" s="1292">
        <v>106</v>
      </c>
      <c r="C16" s="324"/>
      <c r="D16" s="324"/>
      <c r="E16" s="324"/>
      <c r="F16" s="324"/>
    </row>
    <row r="17" spans="1:6">
      <c r="A17" s="1291" t="s">
        <v>7</v>
      </c>
      <c r="B17" s="1292">
        <v>149</v>
      </c>
      <c r="C17" s="324"/>
      <c r="D17" s="324"/>
      <c r="E17" s="324"/>
      <c r="F17" s="324"/>
    </row>
    <row r="18" spans="1:6">
      <c r="A18" s="1291" t="s">
        <v>8</v>
      </c>
      <c r="B18" s="1292">
        <v>155</v>
      </c>
      <c r="C18" s="324"/>
      <c r="D18" s="324"/>
      <c r="E18" s="324"/>
      <c r="F18" s="324"/>
    </row>
    <row r="19" spans="1:6">
      <c r="A19" s="1291" t="s">
        <v>9</v>
      </c>
      <c r="B19" s="1292">
        <v>135</v>
      </c>
      <c r="C19" s="324"/>
      <c r="D19" s="324"/>
      <c r="E19" s="324"/>
      <c r="F19" s="324"/>
    </row>
    <row r="20" spans="1:6">
      <c r="A20" s="1291" t="s">
        <v>10</v>
      </c>
      <c r="B20" s="1292">
        <v>102</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212</v>
      </c>
      <c r="C26" s="324"/>
      <c r="D26" s="324"/>
      <c r="E26" s="324"/>
      <c r="F26" s="324"/>
    </row>
    <row r="27" spans="1:6">
      <c r="A27" s="1291" t="s">
        <v>17</v>
      </c>
      <c r="B27" s="1292">
        <v>2</v>
      </c>
      <c r="C27" s="324"/>
      <c r="D27" s="324"/>
      <c r="E27" s="324"/>
      <c r="F27" s="324"/>
    </row>
    <row r="28" spans="1:6" s="43" customFormat="1">
      <c r="A28" s="1293" t="s">
        <v>18</v>
      </c>
      <c r="B28" s="1294">
        <v>30</v>
      </c>
      <c r="C28" s="330"/>
      <c r="D28" s="330"/>
      <c r="E28" s="330"/>
      <c r="F28" s="330"/>
    </row>
    <row r="29" spans="1:6">
      <c r="A29" s="1293" t="s">
        <v>722</v>
      </c>
      <c r="B29" s="1294">
        <v>84</v>
      </c>
      <c r="C29" s="330"/>
      <c r="D29" s="330"/>
      <c r="E29" s="330"/>
      <c r="F29" s="330"/>
    </row>
    <row r="30" spans="1:6">
      <c r="A30" s="1286" t="s">
        <v>723</v>
      </c>
      <c r="B30" s="1295">
        <v>18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7</v>
      </c>
      <c r="D36" s="1292">
        <v>2042479.70712584</v>
      </c>
      <c r="E36" s="1292">
        <v>10</v>
      </c>
      <c r="F36" s="1292">
        <v>596667.67338985903</v>
      </c>
    </row>
    <row r="37" spans="1:6">
      <c r="A37" s="1291" t="s">
        <v>24</v>
      </c>
      <c r="B37" s="1291" t="s">
        <v>27</v>
      </c>
      <c r="C37" s="1292">
        <v>0</v>
      </c>
      <c r="D37" s="1292">
        <v>0</v>
      </c>
      <c r="E37" s="1292">
        <v>0</v>
      </c>
      <c r="F37" s="1292">
        <v>0</v>
      </c>
    </row>
    <row r="38" spans="1:6">
      <c r="A38" s="1291" t="s">
        <v>24</v>
      </c>
      <c r="B38" s="1291" t="s">
        <v>28</v>
      </c>
      <c r="C38" s="1292">
        <v>2</v>
      </c>
      <c r="D38" s="1292">
        <v>1056138.16932803</v>
      </c>
      <c r="E38" s="1292">
        <v>11</v>
      </c>
      <c r="F38" s="1292">
        <v>391158.96333048702</v>
      </c>
    </row>
    <row r="39" spans="1:6">
      <c r="A39" s="1291" t="s">
        <v>29</v>
      </c>
      <c r="B39" s="1291" t="s">
        <v>30</v>
      </c>
      <c r="C39" s="1292">
        <v>29477</v>
      </c>
      <c r="D39" s="1292">
        <v>455388476.07320398</v>
      </c>
      <c r="E39" s="1292">
        <v>46326</v>
      </c>
      <c r="F39" s="1292">
        <v>133251110.348225</v>
      </c>
    </row>
    <row r="40" spans="1:6">
      <c r="A40" s="1291" t="s">
        <v>29</v>
      </c>
      <c r="B40" s="1291" t="s">
        <v>28</v>
      </c>
      <c r="C40" s="1292">
        <v>0</v>
      </c>
      <c r="D40" s="1292">
        <v>0</v>
      </c>
      <c r="E40" s="1292">
        <v>0</v>
      </c>
      <c r="F40" s="1292">
        <v>0</v>
      </c>
    </row>
    <row r="41" spans="1:6">
      <c r="A41" s="1291" t="s">
        <v>31</v>
      </c>
      <c r="B41" s="1291" t="s">
        <v>32</v>
      </c>
      <c r="C41" s="1292">
        <v>220</v>
      </c>
      <c r="D41" s="1292">
        <v>26836184.023727499</v>
      </c>
      <c r="E41" s="1292">
        <v>537</v>
      </c>
      <c r="F41" s="1292">
        <v>26934261.735626999</v>
      </c>
    </row>
    <row r="42" spans="1:6">
      <c r="A42" s="1291" t="s">
        <v>31</v>
      </c>
      <c r="B42" s="1291" t="s">
        <v>33</v>
      </c>
      <c r="C42" s="1292">
        <v>0</v>
      </c>
      <c r="D42" s="1292">
        <v>0</v>
      </c>
      <c r="E42" s="1292">
        <v>3</v>
      </c>
      <c r="F42" s="1292">
        <v>24407.996694070898</v>
      </c>
    </row>
    <row r="43" spans="1:6">
      <c r="A43" s="1291" t="s">
        <v>31</v>
      </c>
      <c r="B43" s="1291" t="s">
        <v>34</v>
      </c>
      <c r="C43" s="1292">
        <v>0</v>
      </c>
      <c r="D43" s="1292">
        <v>0</v>
      </c>
      <c r="E43" s="1292">
        <v>0</v>
      </c>
      <c r="F43" s="1292">
        <v>0</v>
      </c>
    </row>
    <row r="44" spans="1:6">
      <c r="A44" s="1291" t="s">
        <v>31</v>
      </c>
      <c r="B44" s="1291" t="s">
        <v>35</v>
      </c>
      <c r="C44" s="1292">
        <v>4</v>
      </c>
      <c r="D44" s="1292">
        <v>104909.720733232</v>
      </c>
      <c r="E44" s="1292">
        <v>34</v>
      </c>
      <c r="F44" s="1292">
        <v>1835470.65858953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28</v>
      </c>
      <c r="D47" s="1292">
        <v>1927991.22026227</v>
      </c>
      <c r="E47" s="1292">
        <v>44</v>
      </c>
      <c r="F47" s="1292">
        <v>1833189.0681624601</v>
      </c>
    </row>
    <row r="48" spans="1:6">
      <c r="A48" s="1291" t="s">
        <v>31</v>
      </c>
      <c r="B48" s="1291" t="s">
        <v>28</v>
      </c>
      <c r="C48" s="1292">
        <v>105</v>
      </c>
      <c r="D48" s="1292">
        <v>82539363.787051097</v>
      </c>
      <c r="E48" s="1292">
        <v>133</v>
      </c>
      <c r="F48" s="1292">
        <v>47609320.146550201</v>
      </c>
    </row>
    <row r="49" spans="1:6">
      <c r="A49" s="1291" t="s">
        <v>31</v>
      </c>
      <c r="B49" s="1291" t="s">
        <v>39</v>
      </c>
      <c r="C49" s="1292">
        <v>8</v>
      </c>
      <c r="D49" s="1292">
        <v>196909.26086645099</v>
      </c>
      <c r="E49" s="1292">
        <v>12</v>
      </c>
      <c r="F49" s="1292">
        <v>121314.842545622</v>
      </c>
    </row>
    <row r="50" spans="1:6">
      <c r="A50" s="1291" t="s">
        <v>31</v>
      </c>
      <c r="B50" s="1291" t="s">
        <v>40</v>
      </c>
      <c r="C50" s="1292">
        <v>38</v>
      </c>
      <c r="D50" s="1292">
        <v>6754404.34318191</v>
      </c>
      <c r="E50" s="1292">
        <v>63</v>
      </c>
      <c r="F50" s="1292">
        <v>29976498.106290601</v>
      </c>
    </row>
    <row r="51" spans="1:6">
      <c r="A51" s="1291" t="s">
        <v>41</v>
      </c>
      <c r="B51" s="1291" t="s">
        <v>42</v>
      </c>
      <c r="C51" s="1292">
        <v>24</v>
      </c>
      <c r="D51" s="1292">
        <v>1063750.9782010301</v>
      </c>
      <c r="E51" s="1292">
        <v>42</v>
      </c>
      <c r="F51" s="1292">
        <v>539423.34277153003</v>
      </c>
    </row>
    <row r="52" spans="1:6">
      <c r="A52" s="1291" t="s">
        <v>41</v>
      </c>
      <c r="B52" s="1291" t="s">
        <v>28</v>
      </c>
      <c r="C52" s="1292">
        <v>20</v>
      </c>
      <c r="D52" s="1292">
        <v>874367.54469814396</v>
      </c>
      <c r="E52" s="1292">
        <v>24</v>
      </c>
      <c r="F52" s="1292">
        <v>956692.44242032303</v>
      </c>
    </row>
    <row r="53" spans="1:6">
      <c r="A53" s="1291" t="s">
        <v>43</v>
      </c>
      <c r="B53" s="1291" t="s">
        <v>44</v>
      </c>
      <c r="C53" s="1292">
        <v>1549</v>
      </c>
      <c r="D53" s="1292">
        <v>38316069.032374598</v>
      </c>
      <c r="E53" s="1292">
        <v>3090</v>
      </c>
      <c r="F53" s="1292">
        <v>11225564.970216099</v>
      </c>
    </row>
    <row r="54" spans="1:6">
      <c r="A54" s="1291" t="s">
        <v>45</v>
      </c>
      <c r="B54" s="1291" t="s">
        <v>46</v>
      </c>
      <c r="C54" s="1292">
        <v>0</v>
      </c>
      <c r="D54" s="1292">
        <v>0</v>
      </c>
      <c r="E54" s="1292">
        <v>1</v>
      </c>
      <c r="F54" s="1292">
        <v>5448266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282</v>
      </c>
      <c r="D57" s="1292">
        <v>20410641.661614299</v>
      </c>
      <c r="E57" s="1292">
        <v>491</v>
      </c>
      <c r="F57" s="1292">
        <v>25545778.4251993</v>
      </c>
    </row>
    <row r="58" spans="1:6">
      <c r="A58" s="1291" t="s">
        <v>48</v>
      </c>
      <c r="B58" s="1291" t="s">
        <v>50</v>
      </c>
      <c r="C58" s="1292">
        <v>312</v>
      </c>
      <c r="D58" s="1292">
        <v>24066206.9822933</v>
      </c>
      <c r="E58" s="1292">
        <v>449</v>
      </c>
      <c r="F58" s="1292">
        <v>8683786.2001868095</v>
      </c>
    </row>
    <row r="59" spans="1:6">
      <c r="A59" s="1291" t="s">
        <v>48</v>
      </c>
      <c r="B59" s="1291" t="s">
        <v>51</v>
      </c>
      <c r="C59" s="1292">
        <v>624</v>
      </c>
      <c r="D59" s="1292">
        <v>26688469.492465802</v>
      </c>
      <c r="E59" s="1292">
        <v>1158</v>
      </c>
      <c r="F59" s="1292">
        <v>41944775.505364299</v>
      </c>
    </row>
    <row r="60" spans="1:6">
      <c r="A60" s="1291" t="s">
        <v>48</v>
      </c>
      <c r="B60" s="1291" t="s">
        <v>52</v>
      </c>
      <c r="C60" s="1292">
        <v>664</v>
      </c>
      <c r="D60" s="1292">
        <v>225202189.30607399</v>
      </c>
      <c r="E60" s="1292">
        <v>768</v>
      </c>
      <c r="F60" s="1292">
        <v>257435560.510297</v>
      </c>
    </row>
    <row r="61" spans="1:6">
      <c r="A61" s="1291" t="s">
        <v>48</v>
      </c>
      <c r="B61" s="1291" t="s">
        <v>53</v>
      </c>
      <c r="C61" s="1292">
        <v>1852</v>
      </c>
      <c r="D61" s="1292">
        <v>153469820.75454101</v>
      </c>
      <c r="E61" s="1292">
        <v>3825</v>
      </c>
      <c r="F61" s="1292">
        <v>106592150.932666</v>
      </c>
    </row>
    <row r="62" spans="1:6">
      <c r="A62" s="1291" t="s">
        <v>48</v>
      </c>
      <c r="B62" s="1291" t="s">
        <v>54</v>
      </c>
      <c r="C62" s="1292">
        <v>92</v>
      </c>
      <c r="D62" s="1292">
        <v>21515513.700772598</v>
      </c>
      <c r="E62" s="1292">
        <v>118</v>
      </c>
      <c r="F62" s="1292">
        <v>6147653.5528529696</v>
      </c>
    </row>
    <row r="63" spans="1:6">
      <c r="A63" s="1291" t="s">
        <v>48</v>
      </c>
      <c r="B63" s="1291" t="s">
        <v>28</v>
      </c>
      <c r="C63" s="1292">
        <v>410</v>
      </c>
      <c r="D63" s="1292">
        <v>112488816.130051</v>
      </c>
      <c r="E63" s="1292">
        <v>451</v>
      </c>
      <c r="F63" s="1292">
        <v>26884185.339225899</v>
      </c>
    </row>
    <row r="64" spans="1:6">
      <c r="A64" s="1291" t="s">
        <v>55</v>
      </c>
      <c r="B64" s="1291" t="s">
        <v>56</v>
      </c>
      <c r="C64" s="1292">
        <v>0</v>
      </c>
      <c r="D64" s="1292">
        <v>0</v>
      </c>
      <c r="E64" s="1292">
        <v>0</v>
      </c>
      <c r="F64" s="1292">
        <v>0</v>
      </c>
    </row>
    <row r="65" spans="1:6">
      <c r="A65" s="1291" t="s">
        <v>55</v>
      </c>
      <c r="B65" s="1291" t="s">
        <v>28</v>
      </c>
      <c r="C65" s="1292">
        <v>13</v>
      </c>
      <c r="D65" s="1292">
        <v>3628652.3009434799</v>
      </c>
      <c r="E65" s="1292">
        <v>7</v>
      </c>
      <c r="F65" s="1292">
        <v>73847.547392084103</v>
      </c>
    </row>
    <row r="66" spans="1:6">
      <c r="A66" s="1291" t="s">
        <v>55</v>
      </c>
      <c r="B66" s="1291" t="s">
        <v>57</v>
      </c>
      <c r="C66" s="1292">
        <v>0</v>
      </c>
      <c r="D66" s="1292">
        <v>0</v>
      </c>
      <c r="E66" s="1292">
        <v>63</v>
      </c>
      <c r="F66" s="1292">
        <v>3422202.7619016501</v>
      </c>
    </row>
    <row r="67" spans="1:6">
      <c r="A67" s="1293" t="s">
        <v>55</v>
      </c>
      <c r="B67" s="1293" t="s">
        <v>58</v>
      </c>
      <c r="C67" s="1292">
        <v>0</v>
      </c>
      <c r="D67" s="1292">
        <v>0</v>
      </c>
      <c r="E67" s="1292">
        <v>0</v>
      </c>
      <c r="F67" s="1292">
        <v>0</v>
      </c>
    </row>
    <row r="68" spans="1:6">
      <c r="A68" s="1286" t="s">
        <v>55</v>
      </c>
      <c r="B68" s="1286" t="s">
        <v>59</v>
      </c>
      <c r="C68" s="1295">
        <v>13</v>
      </c>
      <c r="D68" s="1295">
        <v>602101.65642908297</v>
      </c>
      <c r="E68" s="1295">
        <v>24</v>
      </c>
      <c r="F68" s="1295">
        <v>1204868.0192778099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180798950</v>
      </c>
      <c r="E73" s="443"/>
      <c r="F73" s="324"/>
    </row>
    <row r="74" spans="1:6">
      <c r="A74" s="1291" t="s">
        <v>63</v>
      </c>
      <c r="B74" s="1291" t="s">
        <v>648</v>
      </c>
      <c r="C74" s="1305" t="s">
        <v>650</v>
      </c>
      <c r="D74" s="1306">
        <v>6380244</v>
      </c>
      <c r="E74" s="443"/>
      <c r="F74" s="324"/>
    </row>
    <row r="75" spans="1:6">
      <c r="A75" s="1291" t="s">
        <v>64</v>
      </c>
      <c r="B75" s="1291" t="s">
        <v>647</v>
      </c>
      <c r="C75" s="1305" t="s">
        <v>651</v>
      </c>
      <c r="D75" s="1306">
        <v>114287333</v>
      </c>
      <c r="E75" s="443"/>
      <c r="F75" s="324"/>
    </row>
    <row r="76" spans="1:6">
      <c r="A76" s="1291" t="s">
        <v>64</v>
      </c>
      <c r="B76" s="1291" t="s">
        <v>648</v>
      </c>
      <c r="C76" s="1305" t="s">
        <v>652</v>
      </c>
      <c r="D76" s="1306">
        <v>678639</v>
      </c>
      <c r="E76" s="443"/>
      <c r="F76" s="324"/>
    </row>
    <row r="77" spans="1:6">
      <c r="A77" s="1291" t="s">
        <v>65</v>
      </c>
      <c r="B77" s="1291" t="s">
        <v>647</v>
      </c>
      <c r="C77" s="1305" t="s">
        <v>653</v>
      </c>
      <c r="D77" s="1306">
        <v>383796837</v>
      </c>
      <c r="E77" s="443"/>
      <c r="F77" s="324"/>
    </row>
    <row r="78" spans="1:6">
      <c r="A78" s="1286" t="s">
        <v>65</v>
      </c>
      <c r="B78" s="1286" t="s">
        <v>648</v>
      </c>
      <c r="C78" s="1286" t="s">
        <v>654</v>
      </c>
      <c r="D78" s="1307">
        <v>36312031</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6661040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8673.4183542701376</v>
      </c>
      <c r="C91" s="324"/>
      <c r="D91" s="324"/>
      <c r="E91" s="324"/>
      <c r="F91" s="324"/>
    </row>
    <row r="92" spans="1:6">
      <c r="A92" s="1286" t="s">
        <v>68</v>
      </c>
      <c r="B92" s="1287">
        <v>4070.8438567986159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21126</v>
      </c>
      <c r="C97" s="324"/>
      <c r="D97" s="324"/>
      <c r="E97" s="324"/>
      <c r="F97" s="324"/>
    </row>
    <row r="98" spans="1:6">
      <c r="A98" s="1291" t="s">
        <v>71</v>
      </c>
      <c r="B98" s="1292">
        <v>27</v>
      </c>
      <c r="C98" s="324"/>
      <c r="D98" s="324"/>
      <c r="E98" s="324"/>
      <c r="F98" s="324"/>
    </row>
    <row r="99" spans="1:6">
      <c r="A99" s="1291" t="s">
        <v>72</v>
      </c>
      <c r="B99" s="1292">
        <v>177</v>
      </c>
      <c r="C99" s="324"/>
      <c r="D99" s="324"/>
      <c r="E99" s="324"/>
      <c r="F99" s="324"/>
    </row>
    <row r="100" spans="1:6">
      <c r="A100" s="1291" t="s">
        <v>73</v>
      </c>
      <c r="B100" s="1292">
        <v>3087</v>
      </c>
      <c r="C100" s="324"/>
      <c r="D100" s="324"/>
      <c r="E100" s="324"/>
      <c r="F100" s="324"/>
    </row>
    <row r="101" spans="1:6">
      <c r="A101" s="1291" t="s">
        <v>74</v>
      </c>
      <c r="B101" s="1292">
        <v>75</v>
      </c>
      <c r="C101" s="324"/>
      <c r="D101" s="324"/>
      <c r="E101" s="324"/>
      <c r="F101" s="324"/>
    </row>
    <row r="102" spans="1:6">
      <c r="A102" s="1291" t="s">
        <v>75</v>
      </c>
      <c r="B102" s="1292">
        <v>1071</v>
      </c>
      <c r="C102" s="324"/>
      <c r="D102" s="324"/>
      <c r="E102" s="324"/>
      <c r="F102" s="324"/>
    </row>
    <row r="103" spans="1:6">
      <c r="A103" s="1291" t="s">
        <v>76</v>
      </c>
      <c r="B103" s="1292">
        <v>267</v>
      </c>
      <c r="C103" s="324"/>
      <c r="D103" s="324"/>
      <c r="E103" s="324"/>
      <c r="F103" s="324"/>
    </row>
    <row r="104" spans="1:6">
      <c r="A104" s="1291" t="s">
        <v>77</v>
      </c>
      <c r="B104" s="1292">
        <v>12359</v>
      </c>
      <c r="C104" s="324"/>
      <c r="D104" s="324"/>
      <c r="E104" s="324"/>
      <c r="F104" s="324"/>
    </row>
    <row r="105" spans="1:6">
      <c r="A105" s="1286" t="s">
        <v>78</v>
      </c>
      <c r="B105" s="1295">
        <v>69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3</v>
      </c>
      <c r="C121" s="1292">
        <v>0</v>
      </c>
      <c r="D121" s="324"/>
      <c r="E121" s="324"/>
      <c r="F121" s="324"/>
    </row>
    <row r="122" spans="1:6">
      <c r="A122" s="1291" t="s">
        <v>86</v>
      </c>
      <c r="B122" s="1292">
        <v>1</v>
      </c>
      <c r="C122" s="1292">
        <v>0</v>
      </c>
      <c r="D122" s="324"/>
      <c r="E122" s="324"/>
      <c r="F122" s="324"/>
    </row>
    <row r="123" spans="1:6">
      <c r="A123" s="1291" t="s">
        <v>87</v>
      </c>
      <c r="B123" s="1292">
        <v>92</v>
      </c>
      <c r="C123" s="1292">
        <v>160</v>
      </c>
      <c r="D123" s="324"/>
      <c r="E123" s="324"/>
      <c r="F123" s="324"/>
    </row>
    <row r="124" spans="1:6" s="43" customFormat="1">
      <c r="A124" s="1293" t="s">
        <v>88</v>
      </c>
      <c r="B124" s="1314">
        <v>3</v>
      </c>
      <c r="C124" s="1314">
        <v>4</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492</v>
      </c>
      <c r="C129" s="324"/>
      <c r="D129" s="324"/>
      <c r="E129" s="324"/>
      <c r="F129" s="324"/>
    </row>
    <row r="130" spans="1:6">
      <c r="A130" s="1291" t="s">
        <v>289</v>
      </c>
      <c r="B130" s="1292">
        <v>8</v>
      </c>
      <c r="C130" s="324"/>
      <c r="D130" s="324"/>
      <c r="E130" s="324"/>
      <c r="F130" s="324"/>
    </row>
    <row r="131" spans="1:6">
      <c r="A131" s="1291" t="s">
        <v>290</v>
      </c>
      <c r="B131" s="1292">
        <v>18</v>
      </c>
      <c r="C131" s="324"/>
      <c r="D131" s="324"/>
      <c r="E131" s="324"/>
      <c r="F131" s="324"/>
    </row>
    <row r="132" spans="1:6">
      <c r="A132" s="1286" t="s">
        <v>291</v>
      </c>
      <c r="B132" s="1287">
        <v>38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743757.9016658148</v>
      </c>
      <c r="C3" s="43" t="s">
        <v>169</v>
      </c>
      <c r="D3" s="43"/>
      <c r="E3" s="154"/>
      <c r="F3" s="43"/>
      <c r="G3" s="43"/>
      <c r="H3" s="43"/>
      <c r="I3" s="43"/>
      <c r="J3" s="43"/>
      <c r="K3" s="96"/>
    </row>
    <row r="4" spans="1:11">
      <c r="A4" s="352" t="s">
        <v>170</v>
      </c>
      <c r="B4" s="49">
        <f>IF(ISERROR('SEAP template'!B78+'SEAP template'!C78),0,'SEAP template'!B78+'SEAP template'!C78)</f>
        <v>14199.062211068753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11.960099844501391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0.21679697554567121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17.093583553182018</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72.604247104247108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0.23543503630908252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5448.2659999999996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5448.2659999999996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0.21679697554567121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1181.1675907683118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133251.11034822499</v>
      </c>
      <c r="C5" s="17">
        <f>IF(ISERROR('Eigen informatie GS &amp; warmtenet'!B57),0,'Eigen informatie GS &amp; warmtenet'!B57)</f>
        <v>0</v>
      </c>
      <c r="D5" s="30">
        <f>(SUM(HH_hh_gas_kWh,HH_rest_gas_kWh)/1000)*0.902</f>
        <v>410760.40541802999</v>
      </c>
      <c r="E5" s="17">
        <f>B32*B41</f>
        <v>12050.923187315009</v>
      </c>
      <c r="F5" s="17">
        <f>B36*B45</f>
        <v>305316.37507406896</v>
      </c>
      <c r="G5" s="18"/>
      <c r="H5" s="17"/>
      <c r="I5" s="17"/>
      <c r="J5" s="17">
        <f>B35*B44+C35*C44</f>
        <v>1469.1481430451338</v>
      </c>
      <c r="K5" s="17"/>
      <c r="L5" s="17"/>
      <c r="M5" s="17"/>
      <c r="N5" s="17">
        <f>B34*B43+C34*C43</f>
        <v>72273.784508846918</v>
      </c>
      <c r="O5" s="17">
        <f>B52*B53*B54</f>
        <v>1025.5466666666669</v>
      </c>
      <c r="P5" s="17">
        <f>B60*B61*B62/1000-B60*B61*B62/1000/B63</f>
        <v>2535.8666666666668</v>
      </c>
    </row>
    <row r="6" spans="1:16">
      <c r="A6" s="16" t="s">
        <v>613</v>
      </c>
      <c r="B6" s="756">
        <f>kWh_PV_kleiner_dan_10kW</f>
        <v>8673.4183542701376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141924.52870249512</v>
      </c>
      <c r="C8" s="21">
        <f>C5</f>
        <v>0</v>
      </c>
      <c r="D8" s="21">
        <f>D5</f>
        <v>410760.40541802999</v>
      </c>
      <c r="E8" s="21">
        <f>E5</f>
        <v>12050.923187315009</v>
      </c>
      <c r="F8" s="21">
        <f>F5</f>
        <v>305316.37507406896</v>
      </c>
      <c r="G8" s="21"/>
      <c r="H8" s="21"/>
      <c r="I8" s="21"/>
      <c r="J8" s="21">
        <f>J5</f>
        <v>1469.1481430451338</v>
      </c>
      <c r="K8" s="21"/>
      <c r="L8" s="21">
        <f>L5</f>
        <v>0</v>
      </c>
      <c r="M8" s="21">
        <f>M5</f>
        <v>0</v>
      </c>
      <c r="N8" s="21">
        <f>N5</f>
        <v>72273.784508846918</v>
      </c>
      <c r="O8" s="21">
        <f>O5</f>
        <v>1025.5466666666669</v>
      </c>
      <c r="P8" s="21">
        <f>P5</f>
        <v>2535.8666666666668</v>
      </c>
    </row>
    <row r="9" spans="1:16">
      <c r="B9" s="19"/>
      <c r="C9" s="19"/>
      <c r="D9" s="254"/>
      <c r="E9" s="19"/>
      <c r="F9" s="19"/>
      <c r="G9" s="19"/>
      <c r="H9" s="19"/>
      <c r="I9" s="19"/>
      <c r="J9" s="19"/>
      <c r="K9" s="19"/>
      <c r="L9" s="19"/>
      <c r="M9" s="19"/>
      <c r="N9" s="19"/>
      <c r="O9" s="19"/>
      <c r="P9" s="19"/>
    </row>
    <row r="10" spans="1:16">
      <c r="A10" s="24" t="s">
        <v>213</v>
      </c>
      <c r="B10" s="25">
        <f ca="1">'EF ele_warmte'!B12</f>
        <v>0.21679697554567121</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30768.808578445747</v>
      </c>
      <c r="C12" s="23">
        <f ca="1">C10*C8</f>
        <v>0</v>
      </c>
      <c r="D12" s="23">
        <f>D8*D10</f>
        <v>82973.601894442065</v>
      </c>
      <c r="E12" s="23">
        <f>E10*E8</f>
        <v>2735.5595635205073</v>
      </c>
      <c r="F12" s="23">
        <f>F10*F8</f>
        <v>81519.472144776417</v>
      </c>
      <c r="G12" s="23"/>
      <c r="H12" s="23"/>
      <c r="I12" s="23"/>
      <c r="J12" s="23">
        <f>J10*J8</f>
        <v>520.07844263797733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48854</v>
      </c>
      <c r="C26" s="36"/>
      <c r="D26" s="225"/>
    </row>
    <row r="27" spans="1:5" s="15" customFormat="1">
      <c r="A27" s="227" t="s">
        <v>768</v>
      </c>
      <c r="B27" s="37">
        <f>SUM(HH_hh_gas_aantal,HH_rest_gas_aantal)</f>
        <v>29477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28003.15</v>
      </c>
      <c r="C31" s="34" t="s">
        <v>110</v>
      </c>
      <c r="D31" s="171"/>
    </row>
    <row r="32" spans="1:5">
      <c r="A32" s="168" t="s">
        <v>72</v>
      </c>
      <c r="B32" s="33">
        <f>IF((B21*($B$26-($B$27-0.05*$B$27)-$B$60))&lt;0,0,B21*($B$26-($B$27-0.05*$B$27)-$B$60))</f>
        <v>227.90659082058261</v>
      </c>
      <c r="C32" s="34" t="s">
        <v>110</v>
      </c>
      <c r="D32" s="171"/>
    </row>
    <row r="33" spans="1:6">
      <c r="A33" s="168" t="s">
        <v>73</v>
      </c>
      <c r="B33" s="33">
        <f>IF((B22*($B$26-($B$27-0.05*$B$27)-$B$60))&lt;0,0,B22*($B$26-($B$27-0.05*$B$27)-$B$60))</f>
        <v>4738.3694121143699</v>
      </c>
      <c r="C33" s="34" t="s">
        <v>110</v>
      </c>
      <c r="D33" s="171"/>
    </row>
    <row r="34" spans="1:6">
      <c r="A34" s="168" t="s">
        <v>74</v>
      </c>
      <c r="B34" s="33">
        <f>IF((B24*($B$26-($B$27-0.05*$B$27)-$B$60))&lt;0,0,B24*($B$26-($B$27-0.05*$B$27)-$B$60))</f>
        <v>942.29323013243777</v>
      </c>
      <c r="C34" s="33">
        <f>B26*C24</f>
        <v>10000.196503830086</v>
      </c>
      <c r="D34" s="230"/>
    </row>
    <row r="35" spans="1:6">
      <c r="A35" s="168" t="s">
        <v>76</v>
      </c>
      <c r="B35" s="33">
        <f>IF((B19*($B$26-($B$27-0.05*$B$27)-$B$60))&lt;0,0,B19*($B$26-($B$27-0.05*$B$27)-$B$60))</f>
        <v>172.50071392908944</v>
      </c>
      <c r="C35" s="33">
        <f>B35/2</f>
        <v>86.250356964544721</v>
      </c>
      <c r="D35" s="230"/>
    </row>
    <row r="36" spans="1:6">
      <c r="A36" s="168" t="s">
        <v>77</v>
      </c>
      <c r="B36" s="33">
        <f>IF((B18*($B$26-($B$27-0.05*$B$27)-$B$60))&lt;0,0,B18*($B$26-($B$27-0.05*$B$27)-$B$60))</f>
        <v>14636.78005300352</v>
      </c>
      <c r="C36" s="34" t="s">
        <v>110</v>
      </c>
      <c r="D36" s="171"/>
    </row>
    <row r="37" spans="1:6">
      <c r="A37" s="168" t="s">
        <v>78</v>
      </c>
      <c r="B37" s="33">
        <f>B60</f>
        <v>133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656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133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473233.89046579233</v>
      </c>
      <c r="C5" s="17">
        <f>IF(ISERROR('Eigen informatie GS &amp; warmtenet'!B58),0,'Eigen informatie GS &amp; warmtenet'!B58)</f>
        <v>0</v>
      </c>
      <c r="D5" s="30">
        <f>SUM(D6:D12)</f>
        <v>526625.17554108636</v>
      </c>
      <c r="E5" s="17">
        <f>SUM(E6:E12)</f>
        <v>5666.0331408111888</v>
      </c>
      <c r="F5" s="17">
        <f>SUM(F6:F12)</f>
        <v>70396.663726422878</v>
      </c>
      <c r="G5" s="18"/>
      <c r="H5" s="17"/>
      <c r="I5" s="17"/>
      <c r="J5" s="17">
        <f>SUM(J6:J12)</f>
        <v>0.61959944618678664</v>
      </c>
      <c r="K5" s="17"/>
      <c r="L5" s="17"/>
      <c r="M5" s="17"/>
      <c r="N5" s="17">
        <f>SUM(N6:N12)</f>
        <v>24681.73461560583</v>
      </c>
      <c r="O5" s="17">
        <f>B38*B39*B40</f>
        <v>12.506666666666668</v>
      </c>
      <c r="P5" s="17">
        <f>B46*B47*B48/1000-B46*B47*B48/1000/B49</f>
        <v>419.4666666666667</v>
      </c>
      <c r="R5" s="32"/>
    </row>
    <row r="6" spans="1:18">
      <c r="A6" s="32" t="s">
        <v>53</v>
      </c>
      <c r="B6" s="37">
        <f>B26</f>
        <v>106592.150932666</v>
      </c>
      <c r="C6" s="33"/>
      <c r="D6" s="37">
        <f>IF(ISERROR(TER_kantoor_gas_kWh/1000),0,TER_kantoor_gas_kWh/1000)*0.902</f>
        <v>138429.77832059597</v>
      </c>
      <c r="E6" s="33">
        <f>$C$26*'E Balans VL '!I12/100/3.6*1000000</f>
        <v>0.66808415005195587</v>
      </c>
      <c r="F6" s="33">
        <f>$C$26*('E Balans VL '!L12+'E Balans VL '!N12)/100/3.6*1000000</f>
        <v>16017.821816414871</v>
      </c>
      <c r="G6" s="34"/>
      <c r="H6" s="33"/>
      <c r="I6" s="33"/>
      <c r="J6" s="33">
        <f>$C$26*('E Balans VL '!D12+'E Balans VL '!E12)/100/3.6*1000000</f>
        <v>0</v>
      </c>
      <c r="K6" s="33"/>
      <c r="L6" s="33"/>
      <c r="M6" s="33"/>
      <c r="N6" s="33">
        <f>$C$26*'E Balans VL '!Y12/100/3.6*1000000</f>
        <v>101.93958834632019</v>
      </c>
      <c r="O6" s="33"/>
      <c r="P6" s="33"/>
      <c r="R6" s="32"/>
    </row>
    <row r="7" spans="1:18">
      <c r="A7" s="32" t="s">
        <v>52</v>
      </c>
      <c r="B7" s="37">
        <f t="shared" ref="B7:B12" si="0">B27</f>
        <v>257435.56051029701</v>
      </c>
      <c r="C7" s="33"/>
      <c r="D7" s="37">
        <f>IF(ISERROR(TER_horeca_gas_kWh/1000),0,TER_horeca_gas_kWh/1000)*0.902</f>
        <v>203132.37475407874</v>
      </c>
      <c r="E7" s="33">
        <f>$C$27*'E Balans VL '!I9/100/3.6*1000000</f>
        <v>3686.434345928893</v>
      </c>
      <c r="F7" s="33">
        <f>$C$27*('E Balans VL '!L9+'E Balans VL '!N9)/100/3.6*1000000</f>
        <v>32599.832512495075</v>
      </c>
      <c r="G7" s="34"/>
      <c r="H7" s="33"/>
      <c r="I7" s="33"/>
      <c r="J7" s="33">
        <f>$C$27*('E Balans VL '!D9+'E Balans VL '!E9)/100/3.6*1000000</f>
        <v>0</v>
      </c>
      <c r="K7" s="33"/>
      <c r="L7" s="33"/>
      <c r="M7" s="33"/>
      <c r="N7" s="33">
        <f>$C$27*'E Balans VL '!Y9/100/3.6*1000000</f>
        <v>74.007047679824225</v>
      </c>
      <c r="O7" s="33"/>
      <c r="P7" s="33"/>
      <c r="R7" s="32"/>
    </row>
    <row r="8" spans="1:18">
      <c r="A8" s="6" t="s">
        <v>51</v>
      </c>
      <c r="B8" s="37">
        <f t="shared" si="0"/>
        <v>41944.775505364298</v>
      </c>
      <c r="C8" s="33"/>
      <c r="D8" s="37">
        <f>IF(ISERROR(TER_handel_gas_kWh/1000),0,TER_handel_gas_kWh/1000)*0.902</f>
        <v>24072.999482204155</v>
      </c>
      <c r="E8" s="33">
        <f>$C$28*'E Balans VL '!I13/100/3.6*1000000</f>
        <v>1521.3318351815788</v>
      </c>
      <c r="F8" s="33">
        <f>$C$28*('E Balans VL '!L13+'E Balans VL '!N13)/100/3.6*1000000</f>
        <v>8078.9884801878725</v>
      </c>
      <c r="G8" s="34"/>
      <c r="H8" s="33"/>
      <c r="I8" s="33"/>
      <c r="J8" s="33">
        <f>$C$28*('E Balans VL '!D13+'E Balans VL '!E13)/100/3.6*1000000</f>
        <v>0</v>
      </c>
      <c r="K8" s="33"/>
      <c r="L8" s="33"/>
      <c r="M8" s="33"/>
      <c r="N8" s="33">
        <f>$C$28*'E Balans VL '!Y13/100/3.6*1000000</f>
        <v>58.103165137348846</v>
      </c>
      <c r="O8" s="33"/>
      <c r="P8" s="33"/>
      <c r="R8" s="32"/>
    </row>
    <row r="9" spans="1:18">
      <c r="A9" s="32" t="s">
        <v>50</v>
      </c>
      <c r="B9" s="37">
        <f t="shared" si="0"/>
        <v>8683.7862001868089</v>
      </c>
      <c r="C9" s="33"/>
      <c r="D9" s="37">
        <f>IF(ISERROR(TER_gezond_gas_kWh/1000),0,TER_gezond_gas_kWh/1000)*0.902</f>
        <v>21707.718698028559</v>
      </c>
      <c r="E9" s="33">
        <f>$C$29*'E Balans VL '!I10/100/3.6*1000000</f>
        <v>0.54369075303115466</v>
      </c>
      <c r="F9" s="33">
        <f>$C$29*('E Balans VL '!L10+'E Balans VL '!N10)/100/3.6*1000000</f>
        <v>1290.0028796487547</v>
      </c>
      <c r="G9" s="34"/>
      <c r="H9" s="33"/>
      <c r="I9" s="33"/>
      <c r="J9" s="33">
        <f>$C$29*('E Balans VL '!D10+'E Balans VL '!E10)/100/3.6*1000000</f>
        <v>0</v>
      </c>
      <c r="K9" s="33"/>
      <c r="L9" s="33"/>
      <c r="M9" s="33"/>
      <c r="N9" s="33">
        <f>$C$29*'E Balans VL '!Y10/100/3.6*1000000</f>
        <v>134.32164285823291</v>
      </c>
      <c r="O9" s="33"/>
      <c r="P9" s="33"/>
      <c r="R9" s="32"/>
    </row>
    <row r="10" spans="1:18">
      <c r="A10" s="32" t="s">
        <v>49</v>
      </c>
      <c r="B10" s="37">
        <f t="shared" si="0"/>
        <v>25545.7784251993</v>
      </c>
      <c r="C10" s="33"/>
      <c r="D10" s="37">
        <f>IF(ISERROR(TER_ander_gas_kWh/1000),0,TER_ander_gas_kWh/1000)*0.902</f>
        <v>18410.3987787761</v>
      </c>
      <c r="E10" s="33">
        <f>$C$30*'E Balans VL '!I14/100/3.6*1000000</f>
        <v>30.449655030961516</v>
      </c>
      <c r="F10" s="33">
        <f>$C$30*('E Balans VL '!L14+'E Balans VL '!N14)/100/3.6*1000000</f>
        <v>6683.9113121413529</v>
      </c>
      <c r="G10" s="34"/>
      <c r="H10" s="33"/>
      <c r="I10" s="33"/>
      <c r="J10" s="33">
        <f>$C$30*('E Balans VL '!D14+'E Balans VL '!E14)/100/3.6*1000000</f>
        <v>0.55449871292462027</v>
      </c>
      <c r="K10" s="33"/>
      <c r="L10" s="33"/>
      <c r="M10" s="33"/>
      <c r="N10" s="33">
        <f>$C$30*'E Balans VL '!Y14/100/3.6*1000000</f>
        <v>21692.849942280041</v>
      </c>
      <c r="O10" s="33"/>
      <c r="P10" s="33"/>
      <c r="R10" s="32"/>
    </row>
    <row r="11" spans="1:18">
      <c r="A11" s="32" t="s">
        <v>54</v>
      </c>
      <c r="B11" s="37">
        <f t="shared" si="0"/>
        <v>6147.6535528529694</v>
      </c>
      <c r="C11" s="33"/>
      <c r="D11" s="37">
        <f>IF(ISERROR(TER_onderwijs_gas_kWh/1000),0,TER_onderwijs_gas_kWh/1000)*0.902</f>
        <v>19406.993358096883</v>
      </c>
      <c r="E11" s="33">
        <f>$C$31*'E Balans VL '!I11/100/3.6*1000000</f>
        <v>92.758190374951226</v>
      </c>
      <c r="F11" s="33">
        <f>$C$31*('E Balans VL '!L11+'E Balans VL '!N11)/100/3.6*1000000</f>
        <v>1077.1671141471118</v>
      </c>
      <c r="G11" s="34"/>
      <c r="H11" s="33"/>
      <c r="I11" s="33"/>
      <c r="J11" s="33">
        <f>$C$31*('E Balans VL '!D11+'E Balans VL '!E11)/100/3.6*1000000</f>
        <v>0</v>
      </c>
      <c r="K11" s="33"/>
      <c r="L11" s="33"/>
      <c r="M11" s="33"/>
      <c r="N11" s="33">
        <f>$C$31*'E Balans VL '!Y11/100/3.6*1000000</f>
        <v>17.299964460149379</v>
      </c>
      <c r="O11" s="33"/>
      <c r="P11" s="33"/>
      <c r="R11" s="32"/>
    </row>
    <row r="12" spans="1:18">
      <c r="A12" s="32" t="s">
        <v>254</v>
      </c>
      <c r="B12" s="37">
        <f t="shared" si="0"/>
        <v>26884.1853392259</v>
      </c>
      <c r="C12" s="33"/>
      <c r="D12" s="37">
        <f>IF(ISERROR(TER_rest_gas_kWh/1000),0,TER_rest_gas_kWh/1000)*0.902</f>
        <v>101464.91214930601</v>
      </c>
      <c r="E12" s="33">
        <f>$C$32*'E Balans VL '!I8/100/3.6*1000000</f>
        <v>333.84733939172082</v>
      </c>
      <c r="F12" s="33">
        <f>$C$32*('E Balans VL '!L8+'E Balans VL '!N8)/100/3.6*1000000</f>
        <v>4648.9396113878265</v>
      </c>
      <c r="G12" s="34"/>
      <c r="H12" s="33"/>
      <c r="I12" s="33"/>
      <c r="J12" s="33">
        <f>$C$32*('E Balans VL '!D8+'E Balans VL '!E8)/100/3.6*1000000</f>
        <v>6.5100733262166324E-2</v>
      </c>
      <c r="K12" s="33"/>
      <c r="L12" s="33"/>
      <c r="M12" s="33"/>
      <c r="N12" s="33">
        <f>$C$32*'E Balans VL '!Y8/100/3.6*1000000</f>
        <v>2603.2132648439156</v>
      </c>
      <c r="O12" s="33"/>
      <c r="P12" s="33"/>
      <c r="R12" s="32"/>
    </row>
    <row r="13" spans="1:18">
      <c r="A13" s="16" t="s">
        <v>480</v>
      </c>
      <c r="B13" s="243">
        <f ca="1">'lokale energieproductie'!N39+'lokale energieproductie'!N32</f>
        <v>1454.8</v>
      </c>
      <c r="C13" s="243">
        <f ca="1">'lokale energieproductie'!O39+'lokale energieproductie'!O32</f>
        <v>72.604247104247108</v>
      </c>
      <c r="D13" s="302">
        <f ca="1">('lokale energieproductie'!P32+'lokale energieproductie'!P39)*(-1)</f>
        <v>-143.83011583011586</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-4011.4285714285716</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474688.69046579232</v>
      </c>
      <c r="C16" s="21">
        <f t="shared" ca="1" si="1"/>
        <v>72.604247104247108</v>
      </c>
      <c r="D16" s="21">
        <f t="shared" ca="1" si="1"/>
        <v>526481.3454252563</v>
      </c>
      <c r="E16" s="21">
        <f t="shared" si="1"/>
        <v>5666.0331408111888</v>
      </c>
      <c r="F16" s="21">
        <f t="shared" ca="1" si="1"/>
        <v>70396.663726422878</v>
      </c>
      <c r="G16" s="21">
        <f t="shared" si="1"/>
        <v>0</v>
      </c>
      <c r="H16" s="21">
        <f t="shared" si="1"/>
        <v>0</v>
      </c>
      <c r="I16" s="21">
        <f t="shared" si="1"/>
        <v>0</v>
      </c>
      <c r="J16" s="21">
        <f t="shared" si="1"/>
        <v>0.61959944618678664</v>
      </c>
      <c r="K16" s="21">
        <f t="shared" si="1"/>
        <v>0</v>
      </c>
      <c r="L16" s="21">
        <f t="shared" ca="1" si="1"/>
        <v>0</v>
      </c>
      <c r="M16" s="21">
        <f t="shared" si="1"/>
        <v>0</v>
      </c>
      <c r="N16" s="21">
        <f t="shared" ca="1" si="1"/>
        <v>20670.306044177258</v>
      </c>
      <c r="O16" s="21">
        <f>O5</f>
        <v>12.506666666666668</v>
      </c>
      <c r="P16" s="21">
        <f>P5</f>
        <v>419.4666666666667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0.21679697554567121</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102911.07241871906</v>
      </c>
      <c r="C20" s="23">
        <f t="shared" ref="C20:P20" ca="1" si="2">C16*C18</f>
        <v>17.093583553182018</v>
      </c>
      <c r="D20" s="23">
        <f t="shared" ca="1" si="2"/>
        <v>106349.23177590178</v>
      </c>
      <c r="E20" s="23">
        <f t="shared" si="2"/>
        <v>1286.18952296414</v>
      </c>
      <c r="F20" s="23">
        <f t="shared" ca="1" si="2"/>
        <v>18795.909214954911</v>
      </c>
      <c r="G20" s="23">
        <f t="shared" si="2"/>
        <v>0</v>
      </c>
      <c r="H20" s="23">
        <f t="shared" si="2"/>
        <v>0</v>
      </c>
      <c r="I20" s="23">
        <f t="shared" si="2"/>
        <v>0</v>
      </c>
      <c r="J20" s="23">
        <f t="shared" si="2"/>
        <v>0.21933820395012246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106592.150932666</v>
      </c>
      <c r="C26" s="39">
        <f>IF(ISERROR(B26*3.6/1000000/'E Balans VL '!Z12*100),0,B26*3.6/1000000/'E Balans VL '!Z12*100)</f>
        <v>2.2531892151101589</v>
      </c>
      <c r="D26" s="233" t="s">
        <v>732</v>
      </c>
      <c r="F26" s="6"/>
    </row>
    <row r="27" spans="1:18">
      <c r="A27" s="228" t="s">
        <v>52</v>
      </c>
      <c r="B27" s="33">
        <f>IF(ISERROR(TER_horeca_ele_kWh/1000),0,TER_horeca_ele_kWh/1000)</f>
        <v>257435.56051029701</v>
      </c>
      <c r="C27" s="39">
        <f>IF(ISERROR(B27*3.6/1000000/'E Balans VL '!Z9*100),0,B27*3.6/1000000/'E Balans VL '!Z9*100)</f>
        <v>20.293549283894826</v>
      </c>
      <c r="D27" s="233" t="s">
        <v>732</v>
      </c>
      <c r="F27" s="6"/>
    </row>
    <row r="28" spans="1:18">
      <c r="A28" s="168" t="s">
        <v>51</v>
      </c>
      <c r="B28" s="33">
        <f>IF(ISERROR(TER_handel_ele_kWh/1000),0,TER_handel_ele_kWh/1000)</f>
        <v>41944.775505364298</v>
      </c>
      <c r="C28" s="39">
        <f>IF(ISERROR(B28*3.6/1000000/'E Balans VL '!Z13*100),0,B28*3.6/1000000/'E Balans VL '!Z13*100)</f>
        <v>1.2174068610495208</v>
      </c>
      <c r="D28" s="233" t="s">
        <v>732</v>
      </c>
      <c r="F28" s="6"/>
    </row>
    <row r="29" spans="1:18">
      <c r="A29" s="228" t="s">
        <v>50</v>
      </c>
      <c r="B29" s="33">
        <f>IF(ISERROR(TER_gezond_ele_kWh/1000),0,TER_gezond_ele_kWh/1000)</f>
        <v>8683.7862001868089</v>
      </c>
      <c r="C29" s="39">
        <f>IF(ISERROR(B29*3.6/1000000/'E Balans VL '!Z10*100),0,B29*3.6/1000000/'E Balans VL '!Z10*100)</f>
        <v>0.91454527841294353</v>
      </c>
      <c r="D29" s="233" t="s">
        <v>732</v>
      </c>
      <c r="F29" s="6"/>
    </row>
    <row r="30" spans="1:18">
      <c r="A30" s="228" t="s">
        <v>49</v>
      </c>
      <c r="B30" s="33">
        <f>IF(ISERROR(TER_ander_ele_kWh/1000),0,TER_ander_ele_kWh/1000)</f>
        <v>25545.7784251993</v>
      </c>
      <c r="C30" s="39">
        <f>IF(ISERROR(B30*3.6/1000000/'E Balans VL '!Z14*100),0,B30*3.6/1000000/'E Balans VL '!Z14*100)</f>
        <v>1.8842621651581744</v>
      </c>
      <c r="D30" s="233" t="s">
        <v>732</v>
      </c>
      <c r="F30" s="6"/>
    </row>
    <row r="31" spans="1:18">
      <c r="A31" s="228" t="s">
        <v>54</v>
      </c>
      <c r="B31" s="33">
        <f>IF(ISERROR(TER_onderwijs_ele_kWh/1000),0,TER_onderwijs_ele_kWh/1000)</f>
        <v>6147.6535528529694</v>
      </c>
      <c r="C31" s="39">
        <f>IF(ISERROR(B31*3.6/1000000/'E Balans VL '!Z11*100),0,B31*3.6/1000000/'E Balans VL '!Z11*100)</f>
        <v>1.5267503502251341</v>
      </c>
      <c r="D31" s="233" t="s">
        <v>732</v>
      </c>
    </row>
    <row r="32" spans="1:18">
      <c r="A32" s="228" t="s">
        <v>254</v>
      </c>
      <c r="B32" s="33">
        <f>IF(ISERROR(TER_rest_ele_kWh/1000),0,TER_rest_ele_kWh/1000)</f>
        <v>26884.1853392259</v>
      </c>
      <c r="C32" s="39">
        <f>IF(ISERROR(B32*3.6/1000000/'E Balans VL '!Z8*100),0,B32*3.6/1000000/'E Balans VL '!Z8*100)</f>
        <v>0.22122116021327881</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8</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108334.46255445947</v>
      </c>
      <c r="C5" s="17">
        <f>IF(ISERROR('Eigen informatie GS &amp; warmtenet'!B59),0,'Eigen informatie GS &amp; warmtenet'!B59)</f>
        <v>0</v>
      </c>
      <c r="D5" s="30">
        <f>SUM(D6:D15)</f>
        <v>106760.50564495186</v>
      </c>
      <c r="E5" s="17">
        <f>SUM(E6:E15)</f>
        <v>10585.51486105708</v>
      </c>
      <c r="F5" s="17">
        <f>SUM(F6:F15)</f>
        <v>33209.014326830184</v>
      </c>
      <c r="G5" s="18"/>
      <c r="H5" s="17"/>
      <c r="I5" s="17"/>
      <c r="J5" s="17">
        <f>SUM(J6:J15)</f>
        <v>170.72398070395874</v>
      </c>
      <c r="K5" s="17"/>
      <c r="L5" s="17"/>
      <c r="M5" s="17"/>
      <c r="N5" s="17">
        <f>SUM(N6:N15)</f>
        <v>8305.7144950544352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1835.4706585895301</v>
      </c>
      <c r="C8" s="33"/>
      <c r="D8" s="37">
        <f>IF( ISERROR(IND_metaal_Gas_kWH/1000),0,IND_metaal_Gas_kWH/1000)*0.902</f>
        <v>94.628568101375265</v>
      </c>
      <c r="E8" s="33">
        <f>C30*'E Balans VL '!I18/100/3.6*1000000</f>
        <v>16.875379991310098</v>
      </c>
      <c r="F8" s="33">
        <f>C30*'E Balans VL '!L18/100/3.6*1000000+C30*'E Balans VL '!N18/100/3.6*1000000</f>
        <v>172.10603877173995</v>
      </c>
      <c r="G8" s="34"/>
      <c r="H8" s="33"/>
      <c r="I8" s="33"/>
      <c r="J8" s="40">
        <f>C30*'E Balans VL '!D18/100/3.6*1000000+C30*'E Balans VL '!E18/100/3.6*1000000</f>
        <v>0</v>
      </c>
      <c r="K8" s="33"/>
      <c r="L8" s="33"/>
      <c r="M8" s="33"/>
      <c r="N8" s="33">
        <f>C30*'E Balans VL '!Y18/100/3.6*1000000</f>
        <v>26.186022187776008</v>
      </c>
      <c r="O8" s="33"/>
      <c r="P8" s="33"/>
      <c r="R8" s="32"/>
    </row>
    <row r="9" spans="1:18">
      <c r="A9" s="6" t="s">
        <v>32</v>
      </c>
      <c r="B9" s="37">
        <f t="shared" si="0"/>
        <v>26934.261735626998</v>
      </c>
      <c r="C9" s="33"/>
      <c r="D9" s="37">
        <f>IF( ISERROR(IND_andere_gas_kWh/1000),0,IND_andere_gas_kWh/1000)*0.902</f>
        <v>24206.237989402205</v>
      </c>
      <c r="E9" s="33">
        <f>C31*'E Balans VL '!I19/100/3.6*1000000</f>
        <v>7873.4090535532468</v>
      </c>
      <c r="F9" s="33">
        <f>C31*'E Balans VL '!L19/100/3.6*1000000+C31*'E Balans VL '!N19/100/3.6*1000000</f>
        <v>21643.718040858515</v>
      </c>
      <c r="G9" s="34"/>
      <c r="H9" s="33"/>
      <c r="I9" s="33"/>
      <c r="J9" s="40">
        <f>C31*'E Balans VL '!D19/100/3.6*1000000+C31*'E Balans VL '!E19/100/3.6*1000000</f>
        <v>0</v>
      </c>
      <c r="K9" s="33"/>
      <c r="L9" s="33"/>
      <c r="M9" s="33"/>
      <c r="N9" s="33">
        <f>C31*'E Balans VL '!Y19/100/3.6*1000000</f>
        <v>2112.6869092667516</v>
      </c>
      <c r="O9" s="33"/>
      <c r="P9" s="33"/>
      <c r="R9" s="32"/>
    </row>
    <row r="10" spans="1:18">
      <c r="A10" s="6" t="s">
        <v>40</v>
      </c>
      <c r="B10" s="37">
        <f t="shared" si="0"/>
        <v>29976.498106290601</v>
      </c>
      <c r="C10" s="33"/>
      <c r="D10" s="37">
        <f>IF( ISERROR(IND_voed_gas_kWh/1000),0,IND_voed_gas_kWh/1000)*0.902</f>
        <v>6092.472717550083</v>
      </c>
      <c r="E10" s="33">
        <f>C32*'E Balans VL '!I20/100/3.6*1000000</f>
        <v>63.41574653496582</v>
      </c>
      <c r="F10" s="33">
        <f>C32*'E Balans VL '!L20/100/3.6*1000000+C32*'E Balans VL '!N20/100/3.6*1000000</f>
        <v>1905.936369692851</v>
      </c>
      <c r="G10" s="34"/>
      <c r="H10" s="33"/>
      <c r="I10" s="33"/>
      <c r="J10" s="40">
        <f>C32*'E Balans VL '!D20/100/3.6*1000000+C32*'E Balans VL '!E20/100/3.6*1000000</f>
        <v>0</v>
      </c>
      <c r="K10" s="33"/>
      <c r="L10" s="33"/>
      <c r="M10" s="33"/>
      <c r="N10" s="33">
        <f>C32*'E Balans VL '!Y20/100/3.6*1000000</f>
        <v>2068.674184645487</v>
      </c>
      <c r="O10" s="33"/>
      <c r="P10" s="33"/>
      <c r="R10" s="32"/>
    </row>
    <row r="11" spans="1:18">
      <c r="A11" s="6" t="s">
        <v>39</v>
      </c>
      <c r="B11" s="37">
        <f t="shared" si="0"/>
        <v>121.314842545622</v>
      </c>
      <c r="C11" s="33"/>
      <c r="D11" s="37">
        <f>IF( ISERROR(IND_textiel_gas_kWh/1000),0,IND_textiel_gas_kWh/1000)*0.902</f>
        <v>177.6121533015388</v>
      </c>
      <c r="E11" s="33">
        <f>C33*'E Balans VL '!I21/100/3.6*1000000</f>
        <v>0.36029462301033754</v>
      </c>
      <c r="F11" s="33">
        <f>C33*'E Balans VL '!L21/100/3.6*1000000+C33*'E Balans VL '!N21/100/3.6*1000000</f>
        <v>12.25612968894195</v>
      </c>
      <c r="G11" s="34"/>
      <c r="H11" s="33"/>
      <c r="I11" s="33"/>
      <c r="J11" s="40">
        <f>C33*'E Balans VL '!D21/100/3.6*1000000+C33*'E Balans VL '!E21/100/3.6*1000000</f>
        <v>0</v>
      </c>
      <c r="K11" s="33"/>
      <c r="L11" s="33"/>
      <c r="M11" s="33"/>
      <c r="N11" s="33">
        <f>C33*'E Balans VL '!Y21/100/3.6*1000000</f>
        <v>6.6909007250295547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1833.1890681624602</v>
      </c>
      <c r="C13" s="33"/>
      <c r="D13" s="37">
        <f>IF( ISERROR(IND_papier_gas_kWh/1000),0,IND_papier_gas_kWh/1000)*0.902</f>
        <v>1739.0480806765675</v>
      </c>
      <c r="E13" s="33">
        <f>C35*'E Balans VL '!I23/100/3.6*1000000</f>
        <v>2.6008760406372495</v>
      </c>
      <c r="F13" s="33">
        <f>C35*'E Balans VL '!L23/100/3.6*1000000+C35*'E Balans VL '!N23/100/3.6*1000000</f>
        <v>44.755038389179226</v>
      </c>
      <c r="G13" s="34"/>
      <c r="H13" s="33"/>
      <c r="I13" s="33"/>
      <c r="J13" s="40">
        <f>C35*'E Balans VL '!D23/100/3.6*1000000+C35*'E Balans VL '!E23/100/3.6*1000000</f>
        <v>0.28351990041909264</v>
      </c>
      <c r="K13" s="33"/>
      <c r="L13" s="33"/>
      <c r="M13" s="33"/>
      <c r="N13" s="33">
        <f>C35*'E Balans VL '!Y23/100/3.6*1000000</f>
        <v>749.0144737922717</v>
      </c>
      <c r="O13" s="33"/>
      <c r="P13" s="33"/>
      <c r="R13" s="32"/>
    </row>
    <row r="14" spans="1:18">
      <c r="A14" s="6" t="s">
        <v>33</v>
      </c>
      <c r="B14" s="37">
        <f t="shared" si="0"/>
        <v>24.407996694070899</v>
      </c>
      <c r="C14" s="33"/>
      <c r="D14" s="37">
        <f>IF( ISERROR(IND_chemie_gas_kWh/1000),0,IND_chemie_gas_kWh/1000)*0.902</f>
        <v>0</v>
      </c>
      <c r="E14" s="33">
        <f>C36*'E Balans VL '!I24/100/3.6*1000000</f>
        <v>6.0085494510734028E-2</v>
      </c>
      <c r="F14" s="33">
        <f>C36*'E Balans VL '!L24/100/3.6*1000000+C36*'E Balans VL '!N24/100/3.6*1000000</f>
        <v>0.26135968384342961</v>
      </c>
      <c r="G14" s="34"/>
      <c r="H14" s="33"/>
      <c r="I14" s="33"/>
      <c r="J14" s="40">
        <f>C36*'E Balans VL '!D24/100/3.6*1000000+C36*'E Balans VL '!E24/100/3.6*1000000</f>
        <v>0</v>
      </c>
      <c r="K14" s="33"/>
      <c r="L14" s="33"/>
      <c r="M14" s="33"/>
      <c r="N14" s="33">
        <f>C36*'E Balans VL '!Y24/100/3.6*1000000</f>
        <v>0.54509081788512881</v>
      </c>
      <c r="O14" s="33"/>
      <c r="P14" s="33"/>
      <c r="R14" s="32"/>
    </row>
    <row r="15" spans="1:18">
      <c r="A15" s="6" t="s">
        <v>264</v>
      </c>
      <c r="B15" s="37">
        <f t="shared" si="0"/>
        <v>47609.320146550199</v>
      </c>
      <c r="C15" s="33"/>
      <c r="D15" s="37">
        <f>IF( ISERROR(IND_rest_gas_kWh/1000),0,IND_rest_gas_kWh/1000)*0.902</f>
        <v>74450.506135920092</v>
      </c>
      <c r="E15" s="33">
        <f>C37*'E Balans VL '!I15/100/3.6*1000000</f>
        <v>2628.7934248193978</v>
      </c>
      <c r="F15" s="33">
        <f>C37*'E Balans VL '!L15/100/3.6*1000000+C37*'E Balans VL '!N15/100/3.6*1000000</f>
        <v>9429.9813497451123</v>
      </c>
      <c r="G15" s="34"/>
      <c r="H15" s="33"/>
      <c r="I15" s="33"/>
      <c r="J15" s="40">
        <f>C37*'E Balans VL '!D15/100/3.6*1000000+C37*'E Balans VL '!E15/100/3.6*1000000</f>
        <v>170.44046080353965</v>
      </c>
      <c r="K15" s="33"/>
      <c r="L15" s="33"/>
      <c r="M15" s="33"/>
      <c r="N15" s="33">
        <f>C37*'E Balans VL '!Y15/100/3.6*1000000</f>
        <v>3341.9169136192331</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108334.46255445947</v>
      </c>
      <c r="C18" s="21">
        <f>C5+C16</f>
        <v>0</v>
      </c>
      <c r="D18" s="21">
        <f>MAX((D5+D16),0)</f>
        <v>106760.50564495186</v>
      </c>
      <c r="E18" s="21">
        <f>MAX((E5+E16),0)</f>
        <v>10585.51486105708</v>
      </c>
      <c r="F18" s="21">
        <f>MAX((F5+F16),0)</f>
        <v>33209.014326830184</v>
      </c>
      <c r="G18" s="21"/>
      <c r="H18" s="21"/>
      <c r="I18" s="21"/>
      <c r="J18" s="21">
        <f>MAX((J5+J16),0)</f>
        <v>170.72398070395874</v>
      </c>
      <c r="K18" s="21"/>
      <c r="L18" s="21">
        <f>MAX((L5+L16),0)</f>
        <v>0</v>
      </c>
      <c r="M18" s="21"/>
      <c r="N18" s="21">
        <f>MAX((N5+N16),0)</f>
        <v>8305.7144950544352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0.21679697554567121</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23486.583829172585</v>
      </c>
      <c r="C22" s="23">
        <f ca="1">C18*C20</f>
        <v>0</v>
      </c>
      <c r="D22" s="23">
        <f>D18*D20</f>
        <v>21565.622140280277</v>
      </c>
      <c r="E22" s="23">
        <f>E18*E20</f>
        <v>2402.911873459957</v>
      </c>
      <c r="F22" s="23">
        <f>F18*F20</f>
        <v>8866.8068252636604</v>
      </c>
      <c r="G22" s="23"/>
      <c r="H22" s="23"/>
      <c r="I22" s="23"/>
      <c r="J22" s="23">
        <f>J18*J20</f>
        <v>60.436289169201395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1835.4706585895301</v>
      </c>
      <c r="C30" s="39">
        <f>IF(ISERROR(B30*3.6/1000000/'E Balans VL '!Z18*100),0,B30*3.6/1000000/'E Balans VL '!Z18*100)</f>
        <v>0.1040208286768622</v>
      </c>
      <c r="D30" s="233" t="s">
        <v>732</v>
      </c>
    </row>
    <row r="31" spans="1:18">
      <c r="A31" s="6" t="s">
        <v>32</v>
      </c>
      <c r="B31" s="37">
        <f>IF( ISERROR(IND_ander_ele_kWh/1000),0,IND_ander_ele_kWh/1000)</f>
        <v>26934.261735626998</v>
      </c>
      <c r="C31" s="39">
        <f>IF(ISERROR(B31*3.6/1000000/'E Balans VL '!Z19*100),0,B31*3.6/1000000/'E Balans VL '!Z19*100)</f>
        <v>1.2216259600141501</v>
      </c>
      <c r="D31" s="233" t="s">
        <v>732</v>
      </c>
    </row>
    <row r="32" spans="1:18">
      <c r="A32" s="168" t="s">
        <v>40</v>
      </c>
      <c r="B32" s="37">
        <f>IF( ISERROR(IND_voed_ele_kWh/1000),0,IND_voed_ele_kWh/1000)</f>
        <v>29976.498106290601</v>
      </c>
      <c r="C32" s="39">
        <f>IF(ISERROR(B32*3.6/1000000/'E Balans VL '!Z20*100),0,B32*3.6/1000000/'E Balans VL '!Z20*100)</f>
        <v>0.9273091682388358</v>
      </c>
      <c r="D32" s="233" t="s">
        <v>732</v>
      </c>
    </row>
    <row r="33" spans="1:5">
      <c r="A33" s="168" t="s">
        <v>39</v>
      </c>
      <c r="B33" s="37">
        <f>IF( ISERROR(IND_textiel_ele_kWh/1000),0,IND_textiel_ele_kWh/1000)</f>
        <v>121.314842545622</v>
      </c>
      <c r="C33" s="39">
        <f>IF(ISERROR(B33*3.6/1000000/'E Balans VL '!Z21*100),0,B33*3.6/1000000/'E Balans VL '!Z21*100)</f>
        <v>1.5818106984809271E-2</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1833.1890681624602</v>
      </c>
      <c r="C35" s="39">
        <f>IF(ISERROR(B35*3.6/1000000/'E Balans VL '!Z22*100),0,B35*3.6/1000000/'E Balans VL '!Z22*100)</f>
        <v>0.32973351852220811</v>
      </c>
      <c r="D35" s="233" t="s">
        <v>732</v>
      </c>
    </row>
    <row r="36" spans="1:5">
      <c r="A36" s="168" t="s">
        <v>33</v>
      </c>
      <c r="B36" s="37">
        <f>IF( ISERROR(IND_chemie_ele_kWh/1000),0,IND_chemie_ele_kWh/1000)</f>
        <v>24.407996694070899</v>
      </c>
      <c r="C36" s="39">
        <f>IF(ISERROR(B36*3.6/1000000/'E Balans VL '!Z24*100),0,B36*3.6/1000000/'E Balans VL '!Z24*100)</f>
        <v>7.4429805816333277E-4</v>
      </c>
      <c r="D36" s="233" t="s">
        <v>732</v>
      </c>
    </row>
    <row r="37" spans="1:5">
      <c r="A37" s="168" t="s">
        <v>264</v>
      </c>
      <c r="B37" s="37">
        <f>IF( ISERROR(IND_rest_ele_kWh/1000),0,IND_rest_ele_kWh/1000)</f>
        <v>47609.320146550199</v>
      </c>
      <c r="C37" s="39">
        <f>IF(ISERROR(B37*3.6/1000000/'E Balans VL '!Z15*100),0,B37*3.6/1000000/'E Balans VL '!Z15*100)</f>
        <v>0.37736233196731028</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1496.1157851918531</v>
      </c>
      <c r="C5" s="17">
        <f>'Eigen informatie GS &amp; warmtenet'!B60</f>
        <v>0</v>
      </c>
      <c r="D5" s="30">
        <f>IF(ISERROR(SUM(LB_lb_gas_kWh,LB_rest_gas_kWh)/1000),0,SUM(LB_lb_gas_kWh,LB_rest_gas_kWh)/1000)*0.902</f>
        <v>1748.1829076550553</v>
      </c>
      <c r="E5" s="17">
        <f>B17*'E Balans VL '!I25/3.6*1000000/100</f>
        <v>43.975412591834129</v>
      </c>
      <c r="F5" s="17">
        <f>B17*('E Balans VL '!L25/3.6*1000000+'E Balans VL '!N25/3.6*1000000)/100</f>
        <v>6232.7375152556388</v>
      </c>
      <c r="G5" s="18"/>
      <c r="H5" s="17"/>
      <c r="I5" s="17"/>
      <c r="J5" s="17">
        <f>('E Balans VL '!D25+'E Balans VL '!E25)/3.6*1000000*landbouw!B17/100</f>
        <v>216.75504782003031</v>
      </c>
      <c r="K5" s="17"/>
      <c r="L5" s="17">
        <f>L6*(-1)</f>
        <v>0</v>
      </c>
      <c r="M5" s="17"/>
      <c r="N5" s="17">
        <f>N6*(-1)</f>
        <v>0</v>
      </c>
      <c r="O5" s="17"/>
      <c r="P5" s="17"/>
      <c r="R5" s="32"/>
    </row>
    <row r="6" spans="1:18">
      <c r="A6" s="16" t="s">
        <v>480</v>
      </c>
      <c r="B6" s="17" t="s">
        <v>210</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1496.1157851918531</v>
      </c>
      <c r="C8" s="21">
        <f>C5+C6</f>
        <v>0</v>
      </c>
      <c r="D8" s="21">
        <f>MAX((D5+D6),0)</f>
        <v>1748.1829076550553</v>
      </c>
      <c r="E8" s="21">
        <f>MAX((E5+E6),0)</f>
        <v>43.975412591834129</v>
      </c>
      <c r="F8" s="21">
        <f>MAX((F5+F6),0)</f>
        <v>6232.7375152556388</v>
      </c>
      <c r="G8" s="21"/>
      <c r="H8" s="21"/>
      <c r="I8" s="21"/>
      <c r="J8" s="21">
        <f>MAX((J5+J6),0)</f>
        <v>216.75504782003031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0.21679697554567121</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324.35337729573087</v>
      </c>
      <c r="C12" s="23">
        <f ca="1">C8*C10</f>
        <v>0</v>
      </c>
      <c r="D12" s="23">
        <f>D8*D10</f>
        <v>353.1329473463212</v>
      </c>
      <c r="E12" s="23">
        <f>E8*E10</f>
        <v>9.9824186583463472</v>
      </c>
      <c r="F12" s="23">
        <f>F8*F10</f>
        <v>1664.1409165732557</v>
      </c>
      <c r="G12" s="23"/>
      <c r="H12" s="23"/>
      <c r="I12" s="23"/>
      <c r="J12" s="23">
        <f>J8*J10</f>
        <v>76.731286928290729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0.21230352383885004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42.977088201122271</v>
      </c>
      <c r="C26" s="243">
        <f>B26*'GWP N2O_CH4'!B5</f>
        <v>902.51885222356771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5.0888195679200763</v>
      </c>
      <c r="C27" s="243">
        <f>B27*'GWP N2O_CH4'!B5</f>
        <v>106.86521092632159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0.5916670812561351</v>
      </c>
      <c r="C28" s="243">
        <f>B28*'GWP N2O_CH4'!B4</f>
        <v>183.41679518940188</v>
      </c>
      <c r="D28" s="50"/>
    </row>
    <row r="29" spans="1:4">
      <c r="A29" s="41" t="s">
        <v>271</v>
      </c>
      <c r="B29" s="243">
        <f>B34*'ha_N2O bodem landbouw'!B4</f>
        <v>7.0294071743786493</v>
      </c>
      <c r="C29" s="243">
        <f>B29*'GWP N2O_CH4'!B4</f>
        <v>2179.1162240573813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1.6040864927784114E-3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1.4264045129692439E-3</v>
      </c>
      <c r="C5" s="431" t="s">
        <v>210</v>
      </c>
      <c r="D5" s="416">
        <f>SUM(D6:D11)</f>
        <v>2.238275170871047E-3</v>
      </c>
      <c r="E5" s="416">
        <f>SUM(E6:E11)</f>
        <v>4.328302007936582E-3</v>
      </c>
      <c r="F5" s="429" t="s">
        <v>210</v>
      </c>
      <c r="G5" s="416">
        <f>SUM(G6:G11)</f>
        <v>1.596094693725324</v>
      </c>
      <c r="H5" s="416">
        <f>SUM(H6:H11)</f>
        <v>0.36765904220944229</v>
      </c>
      <c r="I5" s="431" t="s">
        <v>210</v>
      </c>
      <c r="J5" s="431" t="s">
        <v>210</v>
      </c>
      <c r="K5" s="431" t="s">
        <v>210</v>
      </c>
      <c r="L5" s="431" t="s">
        <v>210</v>
      </c>
      <c r="M5" s="416">
        <f>SUM(M6:M11)</f>
        <v>0.10407656695595753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3.171296992913467E-4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5.3315079154622226E-4</v>
      </c>
      <c r="E6" s="859">
        <f>vkm_GW_PW*SUMIFS(TableVerdeelsleutelVkm[LPG],TableVerdeelsleutelVkm[Voertuigtype],"Lichte voertuigen")*SUMIFS(TableECFTransport[EnergieConsumptieFactor (PJ per km)],TableECFTransport[Index],CONCATENATE($A6,"_LPG_LPG"))</f>
        <v>9.3808338512156998E-4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0.27832662428671384</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8.6137762762836328E-2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1.8797322363849157E-2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1.8661283906072454E-6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5.9940825072846912E-2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9.7796972951762584E-7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3.502075304879631E-3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2.6510032344112544E-4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5.7146020157353465E-4</v>
      </c>
      <c r="E8" s="419">
        <f>vkm_NGW_PW*SUMIFS(TableVerdeelsleutelVkm[LPG],TableVerdeelsleutelVkm[Voertuigtype],"Lichte voertuigen")*SUMIFS(TableECFTransport[EnergieConsumptieFactor (PJ per km)],TableECFTransport[Index],CONCATENATE($A8,"_LPG_LPG"))</f>
        <v>9.62845811479749E-4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0.26565811682253793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9.0428863001761201E-2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1.8183502765967644E-2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1.9849201768354165E-7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8.1803768194307781E-3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1.2555770967642433E-7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4.7794273184960812E-4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8.314891299367606E-4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1.13366417775129E-3</v>
      </c>
      <c r="E10" s="419">
        <f>vkm_SW_PW*SUMIFS(TableVerdeelsleutelVkm[LPG],TableVerdeelsleutelVkm[Voertuigtype],"Lichte voertuigen")*SUMIFS(TableECFTransport[EnergieConsumptieFactor (PJ per km)],TableECFTransport[Index],CONCATENATE($A10,"_LPG_LPG"))</f>
        <v>2.427372811335263E-3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0.65905604106079929</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0.19108558404559436</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4.4131340922648712E-2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1.0620739891720505E-5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0.32493270966299526</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5.7288718112111448E-6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1.8984382866762777E-2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396.22347582479</v>
      </c>
      <c r="C14" s="21"/>
      <c r="D14" s="21">
        <f t="shared" ref="D14:M14" si="0">((D5)*10^9/3600)+D12</f>
        <v>621.74310301973526</v>
      </c>
      <c r="E14" s="21">
        <f t="shared" si="0"/>
        <v>1202.3061133157173</v>
      </c>
      <c r="F14" s="21"/>
      <c r="G14" s="21">
        <f t="shared" si="0"/>
        <v>443359.63714592333</v>
      </c>
      <c r="H14" s="21">
        <f t="shared" si="0"/>
        <v>102127.51172484508</v>
      </c>
      <c r="I14" s="21"/>
      <c r="J14" s="21"/>
      <c r="K14" s="21"/>
      <c r="L14" s="21"/>
      <c r="M14" s="21">
        <f t="shared" si="0"/>
        <v>28910.15748776598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0.21679697554567121</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85.900051199007848</v>
      </c>
      <c r="C18" s="23"/>
      <c r="D18" s="23">
        <f t="shared" ref="D18:M18" si="1">D14*D16</f>
        <v>125.59210680998653</v>
      </c>
      <c r="E18" s="23">
        <f t="shared" si="1"/>
        <v>272.92348772266786</v>
      </c>
      <c r="F18" s="23"/>
      <c r="G18" s="23">
        <f t="shared" si="1"/>
        <v>118377.02311796154</v>
      </c>
      <c r="H18" s="23">
        <f t="shared" si="1"/>
        <v>25429.750419486427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8.7857896260681097E-4</v>
      </c>
      <c r="C50" s="313">
        <f t="shared" ref="C50:P50" si="2">SUM(C51:C52)</f>
        <v>0</v>
      </c>
      <c r="D50" s="313">
        <f t="shared" si="2"/>
        <v>0</v>
      </c>
      <c r="E50" s="313">
        <f t="shared" si="2"/>
        <v>0</v>
      </c>
      <c r="F50" s="313">
        <f t="shared" si="2"/>
        <v>0</v>
      </c>
      <c r="G50" s="313">
        <f t="shared" si="2"/>
        <v>8.2533772853357987E-2</v>
      </c>
      <c r="H50" s="313">
        <f t="shared" si="2"/>
        <v>0</v>
      </c>
      <c r="I50" s="313">
        <f t="shared" si="2"/>
        <v>0</v>
      </c>
      <c r="J50" s="313">
        <f t="shared" si="2"/>
        <v>0</v>
      </c>
      <c r="K50" s="313">
        <f t="shared" si="2"/>
        <v>0</v>
      </c>
      <c r="L50" s="313">
        <f t="shared" si="2"/>
        <v>0</v>
      </c>
      <c r="M50" s="313">
        <f t="shared" si="2"/>
        <v>4.7528721696492105E-3</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8.7857896260681097E-4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8.2533772853357987E-2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4.7528721696492105E-3</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244.04971183522528</v>
      </c>
      <c r="C54" s="21">
        <f t="shared" ref="C54:P54" si="3">(C50)*10^9/3600</f>
        <v>0</v>
      </c>
      <c r="D54" s="21">
        <f t="shared" si="3"/>
        <v>0</v>
      </c>
      <c r="E54" s="21">
        <f t="shared" si="3"/>
        <v>0</v>
      </c>
      <c r="F54" s="21">
        <f t="shared" si="3"/>
        <v>0</v>
      </c>
      <c r="G54" s="21">
        <f t="shared" si="3"/>
        <v>22926.048014821663</v>
      </c>
      <c r="H54" s="21">
        <f t="shared" si="3"/>
        <v>0</v>
      </c>
      <c r="I54" s="21">
        <f t="shared" si="3"/>
        <v>0</v>
      </c>
      <c r="J54" s="21">
        <f t="shared" si="3"/>
        <v>0</v>
      </c>
      <c r="K54" s="21">
        <f t="shared" si="3"/>
        <v>0</v>
      </c>
      <c r="L54" s="21">
        <f t="shared" si="3"/>
        <v>0</v>
      </c>
      <c r="M54" s="21">
        <f t="shared" si="3"/>
        <v>1320.242269347003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0.21679697554567121</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52.909239408669443</v>
      </c>
      <c r="C58" s="23">
        <f t="shared" ref="C58:P58" ca="1" si="4">C54*C56</f>
        <v>0</v>
      </c>
      <c r="D58" s="23">
        <f t="shared" si="4"/>
        <v>0</v>
      </c>
      <c r="E58" s="23">
        <f t="shared" si="4"/>
        <v>0</v>
      </c>
      <c r="F58" s="23">
        <f t="shared" si="4"/>
        <v>0</v>
      </c>
      <c r="G58" s="23">
        <f t="shared" si="4"/>
        <v>6121.2548199573839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12744.262211068753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50.800000000000004</v>
      </c>
      <c r="C8" s="538">
        <f>B49</f>
        <v>59.208415071789062</v>
      </c>
      <c r="D8" s="1004"/>
      <c r="E8" s="1004">
        <f>E49</f>
        <v>0</v>
      </c>
      <c r="F8" s="1005"/>
      <c r="G8" s="539"/>
      <c r="H8" s="1004">
        <f>I49</f>
        <v>0</v>
      </c>
      <c r="I8" s="1004">
        <f>G49+F49</f>
        <v>0</v>
      </c>
      <c r="J8" s="1004">
        <f>H49+D49+C49</f>
        <v>0</v>
      </c>
      <c r="K8" s="1004"/>
      <c r="L8" s="1004"/>
      <c r="M8" s="1004"/>
      <c r="N8" s="540"/>
      <c r="O8" s="541">
        <f>C8*$C$12+D8*$D$12+E8*$E$12+F8*$F$12+G8*$G$12+H8*$H$12+I8*$I$12+J8*$J$12</f>
        <v>11.960099844501391</v>
      </c>
      <c r="P8" s="1248"/>
      <c r="Q8" s="1249"/>
      <c r="S8" s="967"/>
      <c r="T8" s="1223"/>
      <c r="U8" s="1223"/>
    </row>
    <row r="9" spans="1:21" s="527" customFormat="1" ht="17.45" customHeight="1" thickBot="1">
      <c r="A9" s="542" t="s">
        <v>242</v>
      </c>
      <c r="B9" s="543">
        <f>N37+'Eigen informatie GS &amp; warmtenet'!B12</f>
        <v>1404</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14199.062211068753</v>
      </c>
      <c r="C10" s="551">
        <f t="shared" ref="C10:L10" si="0">SUM(C8:C9)</f>
        <v>59.208415071789062</v>
      </c>
      <c r="D10" s="551">
        <f t="shared" si="0"/>
        <v>0</v>
      </c>
      <c r="E10" s="551">
        <f t="shared" si="0"/>
        <v>0</v>
      </c>
      <c r="F10" s="551">
        <f t="shared" si="0"/>
        <v>0</v>
      </c>
      <c r="G10" s="551">
        <f t="shared" si="0"/>
        <v>0</v>
      </c>
      <c r="H10" s="551">
        <f t="shared" si="0"/>
        <v>0</v>
      </c>
      <c r="I10" s="551">
        <f t="shared" si="0"/>
        <v>0</v>
      </c>
      <c r="J10" s="551">
        <f t="shared" si="0"/>
        <v>4011.4285714285716</v>
      </c>
      <c r="K10" s="551">
        <f t="shared" si="0"/>
        <v>0</v>
      </c>
      <c r="L10" s="551">
        <f t="shared" si="0"/>
        <v>0</v>
      </c>
      <c r="M10" s="1007"/>
      <c r="N10" s="1007"/>
      <c r="O10" s="552">
        <f>SUM(O4:O9)</f>
        <v>11.960099844501391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72.604247104247108</v>
      </c>
      <c r="C17" s="563">
        <f>B50</f>
        <v>84.62170075832681</v>
      </c>
      <c r="D17" s="564"/>
      <c r="E17" s="564">
        <f>E50</f>
        <v>0</v>
      </c>
      <c r="F17" s="1010"/>
      <c r="G17" s="565"/>
      <c r="H17" s="563">
        <f>I50</f>
        <v>0</v>
      </c>
      <c r="I17" s="564">
        <f>G50+F50</f>
        <v>0</v>
      </c>
      <c r="J17" s="564">
        <f>H50+D50+C50</f>
        <v>0</v>
      </c>
      <c r="K17" s="564"/>
      <c r="L17" s="564"/>
      <c r="M17" s="564"/>
      <c r="N17" s="1011"/>
      <c r="O17" s="566">
        <f>C17*$C$22+E17*$E$22+H17*$H$22+I17*$I$22+J17*$J$22+D17*$D$22+F17*$F$22+G17*$G$22+K17*$K$22+L17*$L$22</f>
        <v>17.093583553182018</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72.604247104247108</v>
      </c>
      <c r="C20" s="550">
        <f>SUM(C17:C19)</f>
        <v>84.62170075832681</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17.093583553182018</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51">
      <c r="A28" s="573"/>
      <c r="B28" s="764">
        <v>24062</v>
      </c>
      <c r="C28" s="764">
        <v>3001</v>
      </c>
      <c r="D28" s="621" t="s">
        <v>902</v>
      </c>
      <c r="E28" s="620" t="s">
        <v>903</v>
      </c>
      <c r="F28" s="620" t="s">
        <v>904</v>
      </c>
      <c r="G28" s="620" t="s">
        <v>905</v>
      </c>
      <c r="H28" s="620" t="s">
        <v>906</v>
      </c>
      <c r="I28" s="620" t="s">
        <v>903</v>
      </c>
      <c r="J28" s="763">
        <v>40940</v>
      </c>
      <c r="K28" s="763">
        <v>41244</v>
      </c>
      <c r="L28" s="620" t="s">
        <v>907</v>
      </c>
      <c r="M28" s="620">
        <v>9.4</v>
      </c>
      <c r="N28" s="620">
        <v>42.300000000000004</v>
      </c>
      <c r="O28" s="620">
        <v>60.428571428571438</v>
      </c>
      <c r="P28" s="620">
        <v>120.85714285714288</v>
      </c>
      <c r="Q28" s="620">
        <v>0</v>
      </c>
      <c r="R28" s="620">
        <v>0</v>
      </c>
      <c r="S28" s="620">
        <v>0</v>
      </c>
      <c r="T28" s="620">
        <v>0</v>
      </c>
      <c r="U28" s="620">
        <v>0</v>
      </c>
      <c r="V28" s="620">
        <v>0</v>
      </c>
      <c r="W28" s="620">
        <v>0</v>
      </c>
      <c r="X28" s="620">
        <v>1500</v>
      </c>
      <c r="Y28" s="620" t="s">
        <v>50</v>
      </c>
      <c r="Z28" s="622" t="s">
        <v>155</v>
      </c>
    </row>
    <row r="29" spans="1:26" s="574" customFormat="1" ht="51">
      <c r="A29" s="573"/>
      <c r="B29" s="764">
        <v>24062</v>
      </c>
      <c r="C29" s="764">
        <v>3000</v>
      </c>
      <c r="D29" s="621"/>
      <c r="E29" s="620"/>
      <c r="F29" s="620" t="s">
        <v>908</v>
      </c>
      <c r="G29" s="620" t="s">
        <v>909</v>
      </c>
      <c r="H29" s="620" t="s">
        <v>909</v>
      </c>
      <c r="I29" s="620" t="s">
        <v>910</v>
      </c>
      <c r="J29" s="763">
        <v>42311</v>
      </c>
      <c r="K29" s="763">
        <v>42311</v>
      </c>
      <c r="L29" s="620" t="s">
        <v>907</v>
      </c>
      <c r="M29" s="620">
        <v>1.7</v>
      </c>
      <c r="N29" s="620">
        <v>8.5</v>
      </c>
      <c r="O29" s="620">
        <v>12.175675675675675</v>
      </c>
      <c r="P29" s="620">
        <v>22.972972972972972</v>
      </c>
      <c r="Q29" s="620">
        <v>0</v>
      </c>
      <c r="R29" s="620">
        <v>0</v>
      </c>
      <c r="S29" s="620">
        <v>0</v>
      </c>
      <c r="T29" s="620">
        <v>0</v>
      </c>
      <c r="U29" s="620">
        <v>0</v>
      </c>
      <c r="V29" s="620">
        <v>0</v>
      </c>
      <c r="W29" s="620">
        <v>0</v>
      </c>
      <c r="X29" s="620">
        <v>1500</v>
      </c>
      <c r="Y29" s="620" t="s">
        <v>50</v>
      </c>
      <c r="Z29" s="622" t="s">
        <v>155</v>
      </c>
    </row>
    <row r="30" spans="1:26" s="558" customFormat="1">
      <c r="A30" s="576" t="s">
        <v>274</v>
      </c>
      <c r="B30" s="577"/>
      <c r="C30" s="577"/>
      <c r="D30" s="577"/>
      <c r="E30" s="577"/>
      <c r="F30" s="577"/>
      <c r="G30" s="577"/>
      <c r="H30" s="577"/>
      <c r="I30" s="577"/>
      <c r="J30" s="577"/>
      <c r="K30" s="577"/>
      <c r="L30" s="578"/>
      <c r="M30" s="578">
        <f>SUM(M28:M29)</f>
        <v>11.1</v>
      </c>
      <c r="N30" s="578">
        <f>SUM(N28:N29)</f>
        <v>50.800000000000004</v>
      </c>
      <c r="O30" s="578">
        <f>SUM(O28:O29)</f>
        <v>72.604247104247108</v>
      </c>
      <c r="P30" s="578">
        <f>SUM(P28:P29)</f>
        <v>143.83011583011586</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11.1</v>
      </c>
      <c r="N32" s="578">
        <f ca="1">SUMIF($Z$28:AD29,"tertiair",N28:N29)</f>
        <v>50.800000000000004</v>
      </c>
      <c r="O32" s="578">
        <f ca="1">SUMIF($Z$28:AE29,"tertiair",O28:O29)</f>
        <v>72.604247104247108</v>
      </c>
      <c r="P32" s="578">
        <f ca="1">SUMIF($Z$28:AF29,"tertiair",P28:P29)</f>
        <v>143.83011583011586</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0</v>
      </c>
      <c r="N33" s="583">
        <f>SUMIF($Z$28:$Z$29,"landbouw",N28:N29)</f>
        <v>0</v>
      </c>
      <c r="O33" s="583">
        <f>SUMIF($Z$28:$Z$29,"landbouw",O28:O29)</f>
        <v>0</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63.75">
      <c r="A36" s="575"/>
      <c r="B36" s="764">
        <v>24062</v>
      </c>
      <c r="C36" s="764">
        <v>3010</v>
      </c>
      <c r="D36" s="623" t="s">
        <v>911</v>
      </c>
      <c r="E36" s="623" t="s">
        <v>912</v>
      </c>
      <c r="F36" s="623" t="s">
        <v>913</v>
      </c>
      <c r="G36" s="623" t="s">
        <v>914</v>
      </c>
      <c r="H36" s="623" t="s">
        <v>915</v>
      </c>
      <c r="I36" s="623" t="s">
        <v>916</v>
      </c>
      <c r="J36" s="763">
        <v>36898</v>
      </c>
      <c r="K36" s="763">
        <v>37316</v>
      </c>
      <c r="L36" s="623" t="s">
        <v>917</v>
      </c>
      <c r="M36" s="623">
        <v>312</v>
      </c>
      <c r="N36" s="623">
        <v>1404</v>
      </c>
      <c r="O36" s="623">
        <v>0</v>
      </c>
      <c r="P36" s="623">
        <v>0</v>
      </c>
      <c r="Q36" s="623">
        <v>4011.4285714285716</v>
      </c>
      <c r="R36" s="623">
        <v>0</v>
      </c>
      <c r="S36" s="623">
        <v>0</v>
      </c>
      <c r="T36" s="623">
        <v>0</v>
      </c>
      <c r="U36" s="623">
        <v>0</v>
      </c>
      <c r="V36" s="623">
        <v>0</v>
      </c>
      <c r="W36" s="623">
        <v>0</v>
      </c>
      <c r="X36" s="623">
        <v>1600</v>
      </c>
      <c r="Y36" s="623" t="s">
        <v>49</v>
      </c>
      <c r="Z36" s="624" t="s">
        <v>155</v>
      </c>
    </row>
    <row r="37" spans="1:27" s="558" customFormat="1">
      <c r="A37" s="576" t="s">
        <v>274</v>
      </c>
      <c r="B37" s="577"/>
      <c r="C37" s="577"/>
      <c r="D37" s="577"/>
      <c r="E37" s="577"/>
      <c r="F37" s="577"/>
      <c r="G37" s="577"/>
      <c r="H37" s="577"/>
      <c r="I37" s="577"/>
      <c r="J37" s="577"/>
      <c r="K37" s="577"/>
      <c r="L37" s="578"/>
      <c r="M37" s="578">
        <f>SUM(M36:M36)</f>
        <v>312</v>
      </c>
      <c r="N37" s="578">
        <f>SUM(N36:N36)</f>
        <v>1404</v>
      </c>
      <c r="O37" s="578">
        <f>SUM(O36:O36)</f>
        <v>0</v>
      </c>
      <c r="P37" s="578">
        <f>SUM(P36:P36)</f>
        <v>0</v>
      </c>
      <c r="Q37" s="578">
        <f>SUM(Q36:Q36)</f>
        <v>4011.4285714285716</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312</v>
      </c>
      <c r="N39" s="578">
        <f>SUMIF($Z$36:$Z$37,"tertiair",N36:N37)</f>
        <v>1404</v>
      </c>
      <c r="O39" s="578">
        <f>SUMIF($Z$36:$Z$37,"tertiair",O36:O37)</f>
        <v>0</v>
      </c>
      <c r="P39" s="578">
        <f>SUMIF($Z$36:$Z$37,"tertiair",P36:P37)</f>
        <v>0</v>
      </c>
      <c r="Q39" s="578">
        <f>SUMIF($Z$36:$Z$37,"tertiair",Q36:Q37)</f>
        <v>4011.4285714285716</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0.58834480018271873</v>
      </c>
      <c r="C46" s="603">
        <f>IF(ISERROR(N30/(O30+N30)),0,N30/(N30+O30))</f>
        <v>0.41165519981728133</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59.208415071789062</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84.62170075832681</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2021-06-29T15:39:48Z</dcterms:modified>
</cp:coreProperties>
</file>