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I49" i="18" s="1"/>
  <c r="H17" i="18" s="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E49" i="18"/>
  <c r="E17" i="18" s="1"/>
  <c r="E20" i="18" s="1"/>
  <c r="I8" i="18"/>
  <c r="M77" i="14"/>
  <c r="M9" i="61" s="1"/>
  <c r="H78" i="14"/>
  <c r="H9" i="61"/>
  <c r="H10" i="61" s="1"/>
  <c r="O90" i="14"/>
  <c r="O18" i="61"/>
  <c r="O20" i="61" s="1"/>
  <c r="B88" i="14"/>
  <c r="B18" i="61" s="1"/>
  <c r="J17" i="18"/>
  <c r="H20" i="18"/>
  <c r="M87" i="14"/>
  <c r="J8" i="18"/>
  <c r="M76" i="14"/>
  <c r="H10" i="18"/>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F87" i="14" l="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<sst xmlns="http://schemas.openxmlformats.org/spreadsheetml/2006/main" count="2485" uniqueCount="909">
  <si>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</si>
  <si>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</si>
  <si>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</si>
  <si>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</si>
  <si>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</si>
  <si>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</si>
  <si>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</si>
  <si>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</si>
  <si>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</si>
  <si>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</si>
  <si>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</si>
  <si>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</si>
  <si>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</si>
  <si>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</si>
  <si>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</si>
  <si>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</si>
  <si>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</si>
  <si>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</si>
  <si>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</si>
  <si>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</si>
  <si>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</si>
  <si>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</si>
  <si>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</si>
  <si>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</si>
  <si>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</si>
  <si>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</si>
  <si>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</si>
  <si>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</si>
  <si>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</si>
  <si>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</si>
  <si>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</si>
  <si>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</si>
  <si>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</si>
  <si>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</si>
  <si>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</si>
  <si>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</si>
  <si>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</si>
  <si>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</si>
  <si>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</si>
  <si>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</si>
  <si>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</si>
  <si>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</si>
  <si>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</si>
  <si>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</si>
  <si>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</si>
  <si>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</si>
  <si>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</si>
  <si>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</si>
  <si>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</si>
  <si>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</si>
  <si>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</si>
  <si>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</si>
  <si>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</si>
  <si>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</si>
  <si>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</si>
  <si>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</si>
  <si>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</si>
  <si>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</si>
  <si>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</si>
  <si>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</si>
  <si>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</si>
  <si>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</si>
  <si>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</si>
  <si>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</si>
  <si>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</si>
  <si>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</si>
  <si>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</si>
  <si>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</si>
  <si>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</si>
  <si>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</si>
  <si>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</si>
  <si>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</si>
  <si>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</si>
  <si>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</si>
  <si>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</si>
  <si>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</si>
  <si>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</si>
  <si>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</si>
  <si>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</si>
  <si>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</si>
  <si>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</si>
  <si>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</si>
  <si>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</si>
  <si>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</si>
  <si>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</si>
  <si>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</si>
  <si>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</si>
  <si>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</si>
  <si>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</si>
  <si>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</si>
  <si>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</si>
  <si>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</si>
  <si>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</si>
  <si>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</si>
  <si>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</si>
  <si>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</si>
  <si>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</si>
  <si>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</si>
  <si>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</si>
  <si>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</si>
  <si>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</si>
  <si>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</si>
  <si>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</si>
  <si>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</si>
  <si>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</si>
  <si>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</si>
  <si>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</si>
  <si>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</si>
  <si>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</si>
  <si>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</si>
  <si>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</si>
  <si>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</si>
  <si>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</si>
  <si>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</si>
  <si>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</si>
  <si>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</si>
  <si>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</si>
  <si>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</si>
  <si>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</si>
  <si>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</si>
  <si>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</si>
  <si>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</si>
  <si>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</si>
  <si>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</si>
  <si>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</si>
  <si>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</si>
  <si>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</si>
  <si>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</si>
  <si>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</si>
  <si>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</si>
  <si>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</si>
  <si>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</si>
  <si>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</si>
  <si>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</si>
  <si>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</si>
  <si>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</si>
  <si>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</si>
  <si>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</si>
  <si>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</si>
  <si>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</si>
  <si>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</si>
  <si>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</si>
  <si>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</si>
  <si>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</si>
  <si>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</si>
  <si>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</si>
  <si>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</si>
  <si>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</si>
  <si>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</si>
  <si>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</si>
  <si>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</si>
  <si>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</si>
  <si>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</si>
  <si>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</si>
  <si>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</si>
  <si>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</si>
  <si>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</si>
  <si>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</si>
  <si>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</si>
  <si>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</si>
  <si>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</si>
  <si>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</si>
  <si>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</si>
  <si>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</si>
  <si>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</si>
  <si>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</si>
  <si>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</si>
  <si>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</si>
  <si>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</si>
  <si>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</si>
  <si>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</si>
  <si>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</si>
  <si>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</si>
  <si>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</si>
  <si>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</si>
  <si>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</si>
  <si>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</si>
  <si>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</si>
  <si>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</si>
  <si>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</si>
  <si>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</si>
  <si>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</si>
  <si>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</si>
  <si>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</si>
  <si>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</si>
  <si>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</si>
  <si>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</si>
  <si>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</si>
  <si>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</si>
  <si>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</si>
  <si>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</si>
  <si>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</si>
  <si>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</si>
  <si>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</si>
  <si>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</si>
  <si>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</si>
  <si>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</si>
  <si>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</si>
  <si>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</si>
  <si>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</si>
  <si>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</si>
  <si>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</si>
  <si>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</si>
  <si>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</si>
  <si>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</si>
  <si>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</si>
  <si>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</si>
  <si>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</si>
  <si>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</si>
  <si>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</si>
  <si>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</si>
  <si>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</si>
  <si>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</si>
  <si>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</si>
  <si>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</si>
  <si>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</si>
  <si>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</si>
  <si>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</si>
  <si>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</si>
  <si>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</si>
  <si>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</si>
  <si>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</si>
  <si>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</si>
  <si>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</si>
  <si>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</si>
  <si>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</si>
  <si>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</si>
  <si>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</si>
  <si>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</si>
  <si>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</si>
  <si>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</si>
  <si>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</si>
  <si>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</si>
  <si>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</si>
  <si>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</si>
  <si>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</si>
  <si>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</si>
  <si>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</si>
  <si>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</si>
  <si>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</si>
  <si>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</si>
  <si>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</si>
  <si>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</si>
  <si>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</si>
  <si>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</si>
  <si>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</si>
  <si>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</si>
  <si>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</si>
  <si>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</si>
  <si>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</si>
  <si>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</si>
  <si>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</si>
  <si>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</si>
  <si>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</si>
  <si>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</si>
  <si>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</si>
  <si>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</si>
  <si>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</si>
  <si>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</si>
  <si>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</si>
  <si>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</si>
  <si>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</si>
  <si>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</si>
  <si>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</si>
  <si>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</si>
  <si>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</si>
  <si>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</si>
  <si>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</si>
  <si>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</si>
  <si>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</si>
  <si>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</si>
  <si>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</si>
  <si>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</si>
  <si>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</si>
  <si>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</si>
  <si>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</si>
  <si>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</si>
  <si>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</si>
  <si>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</si>
  <si>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</si>
  <si>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</si>
  <si>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</si>
  <si>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</si>
  <si>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</si>
  <si>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</si>
  <si>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</si>
  <si>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</si>
  <si>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</si>
  <si>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</si>
  <si>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</si>
  <si>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</si>
  <si>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</si>
  <si>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</si>
  <si>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</si>
  <si>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</si>
  <si>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</si>
  <si>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</si>
  <si>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</si>
  <si>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</si>
  <si>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</si>
  <si>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</si>
  <si>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</si>
  <si>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</si>
  <si>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</si>
  <si>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</si>
  <si>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</si>
  <si>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</si>
  <si>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</si>
  <si>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</si>
  <si>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</si>
  <si>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</si>
  <si>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</si>
  <si>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</si>
  <si>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</si>
  <si>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</si>
  <si>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</si>
  <si>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</si>
  <si>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</si>
  <si>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</si>
  <si>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</si>
  <si>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</si>
  <si>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</si>
  <si>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</si>
  <si>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</si>
  <si>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</si>
  <si>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</si>
  <si>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</si>
  <si>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</si>
  <si>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</si>
  <si>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</si>
  <si>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</si>
  <si>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</si>
  <si>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</si>
  <si>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</si>
  <si>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</si>
  <si>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</si>
  <si>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</si>
  <si>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</si>
  <si>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</si>
  <si>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</si>
  <si>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</si>
  <si>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</si>
  <si>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</si>
  <si>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</si>
  <si>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</si>
  <si>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</si>
  <si>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</si>
  <si>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</si>
  <si>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</si>
  <si>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</si>
  <si>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</si>
  <si>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</si>
  <si>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</si>
  <si>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</si>
  <si>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</si>
  <si>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</si>
  <si>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</si>
  <si>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</si>
  <si>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</si>
  <si>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</si>
  <si>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</si>
  <si>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</si>
  <si>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</si>
  <si>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</si>
  <si>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</si>
  <si>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</si>
  <si>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</si>
  <si>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</si>
  <si>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</si>
  <si>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</si>
  <si>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</si>
  <si>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</si>
  <si>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</si>
  <si>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</si>
  <si>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</si>
  <si>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</si>
  <si>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</si>
  <si>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</si>
  <si>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</si>
  <si>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</si>
  <si>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</si>
  <si>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</si>
  <si>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</si>
  <si>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</si>
  <si>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</si>
  <si>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</si>
  <si>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</si>
  <si>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</si>
  <si>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</si>
  <si>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</si>
  <si>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</si>
  <si>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</si>
  <si>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</si>
  <si>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</si>
  <si>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</si>
  <si>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</si>
  <si>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</si>
  <si>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</si>
  <si>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</si>
  <si>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</si>
  <si>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</si>
  <si>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</si>
  <si>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</si>
  <si>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</si>
  <si>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</si>
  <si>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</si>
  <si>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</si>
  <si>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</si>
  <si>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</si>
  <si>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</si>
  <si>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</si>
  <si>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</si>
  <si>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</si>
  <si>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</si>
  <si>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</si>
  <si>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</si>
  <si>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</si>
  <si>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</si>
  <si>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</si>
  <si>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</si>
  <si>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</si>
  <si>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</si>
  <si>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</si>
  <si>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</si>
  <si>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</si>
  <si>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</si>
  <si>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</si>
  <si>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</si>
  <si>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</si>
  <si>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</si>
  <si>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</si>
  <si>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</si>
  <si>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</si>
  <si>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</si>
  <si>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</si>
  <si>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</si>
  <si>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</si>
  <si>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</si>
  <si>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</si>
  <si>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</si>
  <si>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</si>
  <si>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</si>
  <si>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</si>
  <si>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</si>
  <si>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</si>
  <si>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</si>
  <si>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</si>
  <si>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</si>
  <si>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</si>
  <si>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</si>
  <si>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</si>
  <si>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</si>
  <si>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</si>
  <si>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</si>
  <si>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</si>
  <si>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</si>
  <si>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</si>
  <si>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</si>
  <si>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</si>
  <si>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</si>
  <si>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</si>
  <si>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</si>
  <si>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</si>
  <si>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</si>
  <si>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</si>
  <si>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</si>
  <si>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</si>
  <si>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</si>
  <si>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</si>
  <si>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</si>
  <si>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</si>
  <si>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</si>
  <si>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</si>
  <si>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</si>
  <si>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</si>
  <si>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</si>
  <si>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</si>
  <si>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</si>
  <si>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</si>
  <si>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</si>
  <si>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</si>
  <si>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</si>
  <si>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</si>
  <si>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</si>
  <si>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</si>
  <si>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</si>
  <si>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</si>
  <si>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</si>
  <si>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</si>
  <si>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</si>
  <si>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</si>
  <si>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</si>
  <si>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</si>
  <si>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</si>
  <si>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</si>
  <si>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</si>
  <si>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</si>
  <si>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</si>
  <si>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</si>
  <si>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</si>
  <si>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</si>
  <si>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</si>
  <si>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</si>
  <si>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</si>
  <si>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</si>
  <si>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</si>
  <si>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</si>
  <si>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</si>
  <si>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</si>
  <si>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</si>
  <si>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</si>
  <si>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</si>
  <si>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</si>
  <si>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</si>
  <si>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</si>
  <si>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</si>
  <si>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</si>
  <si>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</si>
  <si>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</si>
  <si>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</si>
  <si>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</si>
  <si>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</si>
  <si>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</si>
  <si>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</si>
  <si>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</si>
  <si>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</si>
  <si>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</si>
  <si>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</si>
  <si>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</si>
  <si>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</si>
  <si>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</si>
  <si>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</si>
  <si>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</si>
  <si>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</si>
  <si>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</si>
  <si>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</si>
  <si>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</si>
  <si>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</si>
  <si>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</si>
  <si>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</si>
  <si>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</si>
  <si>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</si>
  <si>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</si>
  <si>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</si>
  <si>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</si>
  <si>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</si>
  <si>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</si>
  <si>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</si>
  <si>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</si>
  <si>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</si>
  <si>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</si>
  <si>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</si>
  <si>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</si>
  <si>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</si>
  <si>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</si>
  <si>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</si>
  <si>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</si>
  <si>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</si>
  <si>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</si>
  <si>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</si>
  <si>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</si>
  <si>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</si>
  <si>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</si>
  <si>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</si>
  <si>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</si>
  <si>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</si>
  <si>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</si>
  <si>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</si>
  <si>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</si>
  <si>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</si>
  <si>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</si>
  <si>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</si>
  <si>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</si>
  <si>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</si>
  <si>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</si>
  <si>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</si>
  <si>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</si>
  <si>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</si>
  <si>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</si>
  <si>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</si>
  <si>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</si>
  <si>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</si>
  <si>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</si>
  <si>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</si>
  <si>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</si>
  <si>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</si>
  <si>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</si>
  <si>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</si>
  <si>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</si>
  <si>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</si>
  <si>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</si>
  <si>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</si>
  <si>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</si>
  <si>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</si>
  <si>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</si>
  <si>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</si>
  <si>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</si>
  <si>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</si>
  <si>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</si>
  <si>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</si>
  <si>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</si>
  <si>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</si>
  <si>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</si>
  <si>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</si>
  <si>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</si>
  <si>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</si>
  <si>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</si>
  <si>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</si>
  <si>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</si>
  <si>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</si>
  <si>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</si>
  <si>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</si>
  <si>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</si>
  <si>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</si>
  <si>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</si>
  <si>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</si>
  <si>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</si>
  <si>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</si>
  <si>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</si>
  <si>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</si>
  <si>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</si>
  <si>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</si>
  <si>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</si>
  <si>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</si>
  <si>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</si>
  <si>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</si>
  <si>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</si>
  <si>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</si>
  <si>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</si>
  <si>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</si>
  <si>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</si>
  <si>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</si>
  <si>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</si>
  <si>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</si>
  <si>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</si>
  <si>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</si>
  <si>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</si>
  <si>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</si>
  <si>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</si>
  <si>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</si>
  <si>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</si>
  <si>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</si>
  <si>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</si>
  <si>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</si>
  <si>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</si>
  <si>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</si>
  <si>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</si>
  <si>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</si>
  <si>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</si>
  <si>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</si>
  <si>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</si>
  <si>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</si>
  <si>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</si>
  <si>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</si>
  <si>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</si>
  <si>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</si>
  <si>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</si>
  <si>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</si>
  <si>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</si>
  <si>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</si>
  <si>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</si>
  <si>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</si>
  <si>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</si>
  <si>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</si>
  <si>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</si>
  <si>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</si>
  <si>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</si>
  <si>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</si>
  <si>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</si>
  <si>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</si>
  <si>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</si>
  <si>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</si>
  <si>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</si>
  <si>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</si>
  <si>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</si>
  <si>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</si>
  <si>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</si>
  <si>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</si>
  <si>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</si>
  <si>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</si>
  <si>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</si>
  <si>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</si>
  <si>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</si>
  <si>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</si>
  <si>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</si>
  <si>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</si>
  <si>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</si>
  <si>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</si>
  <si>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</si>
  <si>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</si>
  <si>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</si>
  <si>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</si>
  <si>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</si>
  <si>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</si>
  <si>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</si>
  <si>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</si>
  <si>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</si>
  <si>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</si>
  <si>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</si>
  <si>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</si>
  <si>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</si>
  <si>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</si>
  <si>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</si>
  <si>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</si>
  <si>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</si>
  <si>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</si>
  <si>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</si>
  <si>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</si>
  <si>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</si>
  <si>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</si>
  <si>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</si>
  <si>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</si>
  <si>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</si>
  <si>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</si>
  <si>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</si>
  <si>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</si>
  <si>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</si>
  <si>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</si>
  <si>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</si>
  <si>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</si>
  <si>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</si>
  <si>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</si>
  <si>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</si>
  <si>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</si>
  <si>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</si>
  <si>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</si>
  <si>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</si>
  <si>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</si>
  <si>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</si>
  <si>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</si>
  <si>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</si>
  <si>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</si>
  <si>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</si>
  <si>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</si>
  <si>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</si>
  <si>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</si>
  <si>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</si>
  <si>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</si>
  <si>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</si>
  <si>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</si>
  <si>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</si>
  <si>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</si>
  <si>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</si>
  <si>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</si>
  <si>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</si>
  <si>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</si>
  <si>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</si>
  <si>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</si>
  <si>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</si>
  <si>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</si>
  <si>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</si>
  <si>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</si>
  <si>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</si>
  <si>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</si>
  <si>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</si>
  <si>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</si>
  <si>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</si>
  <si>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</si>
  <si>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</si>
  <si>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</si>
  <si>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</si>
  <si>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</si>
  <si>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</si>
  <si>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</si>
  <si>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</si>
  <si>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</si>
  <si>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</si>
  <si>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</si>
  <si>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</si>
  <si>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</si>
  <si>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</si>
  <si>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</si>
  <si>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</si>
  <si>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</si>
  <si>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</si>
  <si>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</si>
  <si>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</si>
  <si>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</si>
  <si>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</si>
  <si>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</si>
  <si>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</si>
  <si>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</si>
  <si>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</si>
  <si>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</si>
  <si>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</si>
  <si>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</si>
  <si>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</si>
  <si>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</si>
  <si>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</si>
  <si>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</si>
  <si>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</si>
  <si>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</si>
  <si>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</si>
  <si>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</si>
  <si>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</si>
  <si>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</si>
  <si>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</si>
  <si>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</si>
  <si>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</si>
  <si>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</si>
  <si>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</si>
  <si>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</si>
  <si>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</si>
  <si>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</si>
  <si>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</si>
  <si>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</si>
  <si>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</si>
  <si>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</si>
  <si>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</si>
  <si>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</si>
  <si>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</si>
  <si>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</si>
  <si>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</si>
  <si>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</si>
  <si>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</si>
  <si>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</si>
  <si>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</si>
  <si>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</si>
  <si>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</si>
  <si>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</si>
  <si>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</si>
  <si>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</si>
  <si>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</si>
  <si>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</si>
  <si>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</si>
  <si>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</si>
  <si>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</si>
  <si>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</si>
  <si>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</si>
  <si>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</si>
  <si>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</si>
  <si>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</si>
  <si>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</si>
  <si>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</si>
  <si>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</si>
  <si>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</si>
  <si>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</si>
  <si>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</si>
  <si>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</si>
  <si>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</si>
  <si>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</si>
  <si>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</si>
  <si>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</si>
  <si>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</si>
  <si>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</si>
  <si>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</si>
  <si>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</si>
  <si>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</si>
  <si>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</si>
  <si>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</si>
  <si>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</si>
  <si>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</si>
  <si>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</si>
  <si>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</si>
  <si>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</si>
  <si>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</si>
  <si>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</si>
  <si>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</si>
  <si>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</si>
  <si>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</si>
  <si>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</si>
  <si>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</si>
  <si>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</si>
  <si>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</si>
  <si>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</si>
  <si>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</si>
  <si>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</si>
  <si>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</si>
  <si>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</si>
  <si>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</si>
  <si>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</si>
  <si>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</si>
  <si>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</si>
  <si>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</si>
  <si>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</si>
  <si>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</si>
  <si>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</si>
  <si>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</si>
  <si>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</si>
  <si>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</si>
  <si>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</si>
  <si>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</si>
  <si>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</si>
  <si>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</si>
  <si>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</si>
  <si>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</si>
  <si>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</si>
  <si>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</si>
  <si>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</si>
  <si>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</si>
  <si>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</si>
  <si>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</si>
  <si>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</si>
  <si>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</si>
  <si>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</si>
  <si>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</si>
  <si>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</si>
  <si>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</si>
  <si>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24055</t>
  </si>
  <si>
    <t>KORTENBERG</t>
  </si>
  <si>
    <t>Fluvius</t>
  </si>
  <si>
    <t>referentietaak LNE (2017); Jaarverslag De Lijn</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</si>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</sst>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178711.43074096393</c:v>
                </c:pt>
                <c:pt idx="1">
                  <c:v>79408.693146759309</c:v>
                </c:pt>
                <c:pt idx="2">
                  <c:v>1382.0519999999999</c:v>
                </c:pt>
                <c:pt idx="3">
                  <c:v>2004.3812683924621</c:v>
                </c:pt>
                <c:pt idx="4">
                  <c:v>5917.0723435850778</c:v>
                </c:pt>
                <c:pt idx="5">
                  <c:v>238546.44066619489</c:v>
                </c:pt>
                <c:pt idx="6">
                  <c:v>4170.9728852831731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178711.43074096393</c:v>
                </c:pt>
                <c:pt idx="1">
                  <c:v>79408.693146759309</c:v>
                </c:pt>
                <c:pt idx="2">
                  <c:v>1382.0519999999999</c:v>
                </c:pt>
                <c:pt idx="3">
                  <c:v>2004.3812683924621</c:v>
                </c:pt>
                <c:pt idx="4">
                  <c:v>5917.0723435850778</c:v>
                </c:pt>
                <c:pt idx="5">
                  <c:v>238546.44066619489</c:v>
                </c:pt>
                <c:pt idx="6">
                  <c:v>4170.9728852831731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36248.673673378733</c:v>
                </c:pt>
                <c:pt idx="2">
                  <c:v>16256.930467259639</c:v>
                </c:pt>
                <c:pt idx="3">
                  <c:v>286.44435992111403</c:v>
                </c:pt>
                <c:pt idx="4">
                  <c:v>500.34953541575976</c:v>
                </c:pt>
                <c:pt idx="5">
                  <c:v>1251.093557846561</c:v>
                </c:pt>
                <c:pt idx="6">
                  <c:v>59703.388671631918</c:v>
                </c:pt>
                <c:pt idx="7">
                  <c:v>1051.1313095330049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36248.673673378733</c:v>
                </c:pt>
                <c:pt idx="2">
                  <c:v>16256.930467259639</c:v>
                </c:pt>
                <c:pt idx="3">
                  <c:v>286.44435992111403</c:v>
                </c:pt>
                <c:pt idx="4">
                  <c:v>500.34953541575976</c:v>
                </c:pt>
                <c:pt idx="5">
                  <c:v>1251.093557846561</c:v>
                </c:pt>
                <c:pt idx="6">
                  <c:v>59703.388671631918</c:v>
                </c:pt>
                <c:pt idx="7">
                  <c:v>1051.1313095330049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24055</v>
      </c>
      <c r="B6" s="384"/>
      <c r="C6" s="385"/>
    </row>
    <row r="7" spans="1:7" s="382" customFormat="1" ht="15.75" customHeight="1">
      <c r="A7" s="386" t="str">
        <f>txtMunicipality</f>
        <v>KORTENBERG</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29443.492778254535</v>
      </c>
      <c r="D10" s="973">
        <f ca="1">tertiair!C16</f>
        <v>3381.4285714285716</v>
      </c>
      <c r="E10" s="973">
        <f ca="1">tertiair!D16</f>
        <v>41560.538781300034</v>
      </c>
      <c r="F10" s="973">
        <f>tertiair!E16</f>
        <v>331.44159987977002</v>
      </c>
      <c r="G10" s="973">
        <f ca="1">tertiair!F16</f>
        <v>4370.2002772944552</v>
      </c>
      <c r="H10" s="973">
        <f>tertiair!G16</f>
        <v>0</v>
      </c>
      <c r="I10" s="973">
        <f>tertiair!H16</f>
        <v>0</v>
      </c>
      <c r="J10" s="973">
        <f>tertiair!I16</f>
        <v>0</v>
      </c>
      <c r="K10" s="973">
        <f>tertiair!J16</f>
        <v>4.1858934494946036E-2</v>
      </c>
      <c r="L10" s="973">
        <f>tertiair!K16</f>
        <v>0</v>
      </c>
      <c r="M10" s="973">
        <f ca="1">tertiair!L16</f>
        <v>0</v>
      </c>
      <c r="N10" s="973">
        <f>tertiair!M16</f>
        <v>0</v>
      </c>
      <c r="O10" s="973">
        <f ca="1">tertiair!N16</f>
        <v>1681.4079463341332</v>
      </c>
      <c r="P10" s="973">
        <f>tertiair!O16</f>
        <v>3.1266666666666669</v>
      </c>
      <c r="Q10" s="974">
        <f>tertiair!P16</f>
        <v>19.066666666666666</v>
      </c>
      <c r="R10" s="668">
        <f ca="1">SUM(C10:Q10)</f>
        <v>80790.74514675932</v>
      </c>
      <c r="S10" s="67"/>
    </row>
    <row r="11" spans="1:19" s="441" customFormat="1">
      <c r="A11" s="777" t="s">
        <v>219</v>
      </c>
      <c r="B11" s="782"/>
      <c r="C11" s="973">
        <f>huishoudens!B8</f>
        <v>33590.784083656377</v>
      </c>
      <c r="D11" s="973">
        <f>huishoudens!C8</f>
        <v>0</v>
      </c>
      <c r="E11" s="973">
        <f>huishoudens!D8</f>
        <v>92923.221146916549</v>
      </c>
      <c r="F11" s="973">
        <f>huishoudens!E8</f>
        <v>1494.8883494860509</v>
      </c>
      <c r="G11" s="973">
        <f>huishoudens!F8</f>
        <v>37873.769910505056</v>
      </c>
      <c r="H11" s="973">
        <f>huishoudens!G8</f>
        <v>0</v>
      </c>
      <c r="I11" s="973">
        <f>huishoudens!H8</f>
        <v>0</v>
      </c>
      <c r="J11" s="973">
        <f>huishoudens!I8</f>
        <v>0</v>
      </c>
      <c r="K11" s="973">
        <f>huishoudens!J8</f>
        <v>182.24433170555793</v>
      </c>
      <c r="L11" s="973">
        <f>huishoudens!K8</f>
        <v>0</v>
      </c>
      <c r="M11" s="973">
        <f>huishoudens!L8</f>
        <v>0</v>
      </c>
      <c r="N11" s="973">
        <f>huishoudens!M8</f>
        <v>0</v>
      </c>
      <c r="O11" s="973">
        <f>huishoudens!N8</f>
        <v>11484.316252027664</v>
      </c>
      <c r="P11" s="973">
        <f>huishoudens!O8</f>
        <v>247.00666666666669</v>
      </c>
      <c r="Q11" s="974">
        <f>huishoudens!P8</f>
        <v>915.2</v>
      </c>
      <c r="R11" s="668">
        <f>SUM(C11:Q11)</f>
        <v>178711.43074096393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2230.6382568903837</v>
      </c>
      <c r="D13" s="973">
        <f>industrie!C18</f>
        <v>0</v>
      </c>
      <c r="E13" s="973">
        <f>industrie!D18</f>
        <v>2160.8068367213136</v>
      </c>
      <c r="F13" s="973">
        <f>industrie!E18</f>
        <v>348.54161594420867</v>
      </c>
      <c r="G13" s="973">
        <f>industrie!F18</f>
        <v>1020.2153256165301</v>
      </c>
      <c r="H13" s="973">
        <f>industrie!G18</f>
        <v>0</v>
      </c>
      <c r="I13" s="973">
        <f>industrie!H18</f>
        <v>0</v>
      </c>
      <c r="J13" s="973">
        <f>industrie!I18</f>
        <v>0</v>
      </c>
      <c r="K13" s="973">
        <f>industrie!J18</f>
        <v>2.1797441531246755</v>
      </c>
      <c r="L13" s="973">
        <f>industrie!K18</f>
        <v>0</v>
      </c>
      <c r="M13" s="973">
        <f>industrie!L18</f>
        <v>0</v>
      </c>
      <c r="N13" s="973">
        <f>industrie!M18</f>
        <v>0</v>
      </c>
      <c r="O13" s="973">
        <f>industrie!N18</f>
        <v>154.69056425951788</v>
      </c>
      <c r="P13" s="973">
        <f>industrie!O18</f>
        <v>0</v>
      </c>
      <c r="Q13" s="974">
        <f>industrie!P18</f>
        <v>0</v>
      </c>
      <c r="R13" s="668">
        <f>SUM(C13:Q13)</f>
        <v>5917.0723435850778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65264.915118801298</v>
      </c>
      <c r="D16" s="700">
        <f t="shared" ref="D16:R16" ca="1" si="0">SUM(D9:D15)</f>
        <v>3381.4285714285716</v>
      </c>
      <c r="E16" s="700">
        <f t="shared" ca="1" si="0"/>
        <v>136644.56676493789</v>
      </c>
      <c r="F16" s="700">
        <f t="shared" si="0"/>
        <v>2174.8715653100298</v>
      </c>
      <c r="G16" s="700">
        <f t="shared" ca="1" si="0"/>
        <v>43264.185513416043</v>
      </c>
      <c r="H16" s="700">
        <f t="shared" si="0"/>
        <v>0</v>
      </c>
      <c r="I16" s="700">
        <f t="shared" si="0"/>
        <v>0</v>
      </c>
      <c r="J16" s="700">
        <f t="shared" si="0"/>
        <v>0</v>
      </c>
      <c r="K16" s="700">
        <f t="shared" si="0"/>
        <v>184.46593479317755</v>
      </c>
      <c r="L16" s="700">
        <f t="shared" si="0"/>
        <v>0</v>
      </c>
      <c r="M16" s="700">
        <f t="shared" ca="1" si="0"/>
        <v>0</v>
      </c>
      <c r="N16" s="700">
        <f t="shared" si="0"/>
        <v>0</v>
      </c>
      <c r="O16" s="700">
        <f t="shared" ca="1" si="0"/>
        <v>13320.414762621314</v>
      </c>
      <c r="P16" s="700">
        <f t="shared" si="0"/>
        <v>250.13333333333335</v>
      </c>
      <c r="Q16" s="700">
        <f t="shared" si="0"/>
        <v>934.26666666666677</v>
      </c>
      <c r="R16" s="700">
        <f t="shared" ca="1" si="0"/>
        <v>265419.2482313083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41.564336423748784</v>
      </c>
      <c r="D19" s="973">
        <f>transport!C54</f>
        <v>0</v>
      </c>
      <c r="E19" s="973">
        <f>transport!D54</f>
        <v>0</v>
      </c>
      <c r="F19" s="973">
        <f>transport!E54</f>
        <v>0</v>
      </c>
      <c r="G19" s="973">
        <f>transport!F54</f>
        <v>0</v>
      </c>
      <c r="H19" s="973">
        <f>transport!G54</f>
        <v>3904.5568437238644</v>
      </c>
      <c r="I19" s="973">
        <f>transport!H54</f>
        <v>0</v>
      </c>
      <c r="J19" s="973">
        <f>transport!I54</f>
        <v>0</v>
      </c>
      <c r="K19" s="973">
        <f>transport!J54</f>
        <v>0</v>
      </c>
      <c r="L19" s="973">
        <f>transport!K54</f>
        <v>0</v>
      </c>
      <c r="M19" s="973">
        <f>transport!L54</f>
        <v>0</v>
      </c>
      <c r="N19" s="973">
        <f>transport!M54</f>
        <v>224.85170513555977</v>
      </c>
      <c r="O19" s="973">
        <f>transport!N54</f>
        <v>0</v>
      </c>
      <c r="P19" s="973">
        <f>transport!O54</f>
        <v>0</v>
      </c>
      <c r="Q19" s="974">
        <f>transport!P54</f>
        <v>0</v>
      </c>
      <c r="R19" s="668">
        <f>SUM(C19:Q19)</f>
        <v>4170.9728852831731</v>
      </c>
      <c r="S19" s="67"/>
    </row>
    <row r="20" spans="1:19" s="441" customFormat="1">
      <c r="A20" s="777" t="s">
        <v>301</v>
      </c>
      <c r="B20" s="782"/>
      <c r="C20" s="973">
        <f>transport!B14</f>
        <v>161.6729444644881</v>
      </c>
      <c r="D20" s="973">
        <f>transport!C14</f>
        <v>0</v>
      </c>
      <c r="E20" s="973">
        <f>transport!D14</f>
        <v>249.99810658149846</v>
      </c>
      <c r="F20" s="973">
        <f>transport!E14</f>
        <v>492.17774837338334</v>
      </c>
      <c r="G20" s="973">
        <f>transport!F14</f>
        <v>0</v>
      </c>
      <c r="H20" s="973">
        <f>transport!G14</f>
        <v>184446.55481297901</v>
      </c>
      <c r="I20" s="973">
        <f>transport!H14</f>
        <v>41206.530943738187</v>
      </c>
      <c r="J20" s="973">
        <f>transport!I14</f>
        <v>0</v>
      </c>
      <c r="K20" s="973">
        <f>transport!J14</f>
        <v>0</v>
      </c>
      <c r="L20" s="973">
        <f>transport!K14</f>
        <v>0</v>
      </c>
      <c r="M20" s="973">
        <f>transport!L14</f>
        <v>0</v>
      </c>
      <c r="N20" s="973">
        <f>transport!M14</f>
        <v>11989.506110058326</v>
      </c>
      <c r="O20" s="973">
        <f>transport!N14</f>
        <v>0</v>
      </c>
      <c r="P20" s="973">
        <f>transport!O14</f>
        <v>0</v>
      </c>
      <c r="Q20" s="974">
        <f>transport!P14</f>
        <v>0</v>
      </c>
      <c r="R20" s="668">
        <f>SUM(C20:Q20)</f>
        <v>238546.44066619489</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203.23728088823688</v>
      </c>
      <c r="D22" s="780">
        <f t="shared" ref="D22:R22" si="1">SUM(D18:D21)</f>
        <v>0</v>
      </c>
      <c r="E22" s="780">
        <f t="shared" si="1"/>
        <v>249.99810658149846</v>
      </c>
      <c r="F22" s="780">
        <f t="shared" si="1"/>
        <v>492.17774837338334</v>
      </c>
      <c r="G22" s="780">
        <f t="shared" si="1"/>
        <v>0</v>
      </c>
      <c r="H22" s="780">
        <f t="shared" si="1"/>
        <v>188351.11165670288</v>
      </c>
      <c r="I22" s="780">
        <f t="shared" si="1"/>
        <v>41206.530943738187</v>
      </c>
      <c r="J22" s="780">
        <f t="shared" si="1"/>
        <v>0</v>
      </c>
      <c r="K22" s="780">
        <f t="shared" si="1"/>
        <v>0</v>
      </c>
      <c r="L22" s="780">
        <f t="shared" si="1"/>
        <v>0</v>
      </c>
      <c r="M22" s="780">
        <f t="shared" si="1"/>
        <v>0</v>
      </c>
      <c r="N22" s="780">
        <f t="shared" si="1"/>
        <v>12214.357815193885</v>
      </c>
      <c r="O22" s="780">
        <f t="shared" si="1"/>
        <v>0</v>
      </c>
      <c r="P22" s="780">
        <f t="shared" si="1"/>
        <v>0</v>
      </c>
      <c r="Q22" s="780">
        <f t="shared" si="1"/>
        <v>0</v>
      </c>
      <c r="R22" s="780">
        <f t="shared" si="1"/>
        <v>242717.41355147806</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319.489786108305</v>
      </c>
      <c r="D24" s="973">
        <f>+landbouw!C8</f>
        <v>0</v>
      </c>
      <c r="E24" s="973">
        <f>+landbouw!D8</f>
        <v>298.2363081452757</v>
      </c>
      <c r="F24" s="973">
        <f>+landbouw!E8</f>
        <v>9.3907806481621297</v>
      </c>
      <c r="G24" s="973">
        <f>+landbouw!F8</f>
        <v>1330.9771846053211</v>
      </c>
      <c r="H24" s="973">
        <f>+landbouw!G8</f>
        <v>0</v>
      </c>
      <c r="I24" s="973">
        <f>+landbouw!H8</f>
        <v>0</v>
      </c>
      <c r="J24" s="973">
        <f>+landbouw!I8</f>
        <v>0</v>
      </c>
      <c r="K24" s="973">
        <f>+landbouw!J8</f>
        <v>46.287208885398222</v>
      </c>
      <c r="L24" s="973">
        <f>+landbouw!K8</f>
        <v>0</v>
      </c>
      <c r="M24" s="973">
        <f>+landbouw!L8</f>
        <v>0</v>
      </c>
      <c r="N24" s="973">
        <f>+landbouw!M8</f>
        <v>0</v>
      </c>
      <c r="O24" s="973">
        <f>+landbouw!N8</f>
        <v>0</v>
      </c>
      <c r="P24" s="973">
        <f>+landbouw!O8</f>
        <v>0</v>
      </c>
      <c r="Q24" s="974">
        <f>+landbouw!P8</f>
        <v>0</v>
      </c>
      <c r="R24" s="668">
        <f>SUM(C24:Q24)</f>
        <v>2004.3812683924621</v>
      </c>
      <c r="S24" s="67"/>
    </row>
    <row r="25" spans="1:19" s="441" customFormat="1" ht="15" thickBot="1">
      <c r="A25" s="799" t="s">
        <v>808</v>
      </c>
      <c r="B25" s="976"/>
      <c r="C25" s="977">
        <f>IF(Onbekend_ele_kWh="---",0,Onbekend_ele_kWh)/1000+IF(REST_rest_ele_kWh="---",0,REST_rest_ele_kWh)/1000</f>
        <v>987.4017229554911</v>
      </c>
      <c r="D25" s="977"/>
      <c r="E25" s="977">
        <f>IF(onbekend_gas_kWh="---",0,onbekend_gas_kWh)/1000+IF(REST_rest_gas_kWh="---",0,REST_rest_gas_kWh)/1000</f>
        <v>2918.6000628227098</v>
      </c>
      <c r="F25" s="977"/>
      <c r="G25" s="977"/>
      <c r="H25" s="977"/>
      <c r="I25" s="977"/>
      <c r="J25" s="977"/>
      <c r="K25" s="977"/>
      <c r="L25" s="977"/>
      <c r="M25" s="977"/>
      <c r="N25" s="977"/>
      <c r="O25" s="977"/>
      <c r="P25" s="977"/>
      <c r="Q25" s="978"/>
      <c r="R25" s="668">
        <f>SUM(C25:Q25)</f>
        <v>3906.0017857782009</v>
      </c>
      <c r="S25" s="67"/>
    </row>
    <row r="26" spans="1:19" s="441" customFormat="1" ht="15.75" thickBot="1">
      <c r="A26" s="673" t="s">
        <v>809</v>
      </c>
      <c r="B26" s="785"/>
      <c r="C26" s="780">
        <f>SUM(C24:C25)</f>
        <v>1306.8915090637961</v>
      </c>
      <c r="D26" s="780">
        <f t="shared" ref="D26:R26" si="2">SUM(D24:D25)</f>
        <v>0</v>
      </c>
      <c r="E26" s="780">
        <f t="shared" si="2"/>
        <v>3216.8363709679857</v>
      </c>
      <c r="F26" s="780">
        <f t="shared" si="2"/>
        <v>9.3907806481621297</v>
      </c>
      <c r="G26" s="780">
        <f t="shared" si="2"/>
        <v>1330.9771846053211</v>
      </c>
      <c r="H26" s="780">
        <f t="shared" si="2"/>
        <v>0</v>
      </c>
      <c r="I26" s="780">
        <f t="shared" si="2"/>
        <v>0</v>
      </c>
      <c r="J26" s="780">
        <f t="shared" si="2"/>
        <v>0</v>
      </c>
      <c r="K26" s="780">
        <f t="shared" si="2"/>
        <v>46.287208885398222</v>
      </c>
      <c r="L26" s="780">
        <f t="shared" si="2"/>
        <v>0</v>
      </c>
      <c r="M26" s="780">
        <f t="shared" si="2"/>
        <v>0</v>
      </c>
      <c r="N26" s="780">
        <f t="shared" si="2"/>
        <v>0</v>
      </c>
      <c r="O26" s="780">
        <f t="shared" si="2"/>
        <v>0</v>
      </c>
      <c r="P26" s="780">
        <f t="shared" si="2"/>
        <v>0</v>
      </c>
      <c r="Q26" s="780">
        <f t="shared" si="2"/>
        <v>0</v>
      </c>
      <c r="R26" s="780">
        <f t="shared" si="2"/>
        <v>5910.3830541706629</v>
      </c>
      <c r="S26" s="67"/>
    </row>
    <row r="27" spans="1:19" s="441" customFormat="1" ht="17.25" thickTop="1" thickBot="1">
      <c r="A27" s="674" t="s">
        <v>115</v>
      </c>
      <c r="B27" s="773"/>
      <c r="C27" s="675">
        <f ca="1">C22+C16+C26</f>
        <v>66775.04390875333</v>
      </c>
      <c r="D27" s="675">
        <f t="shared" ref="D27:R27" ca="1" si="3">D22+D16+D26</f>
        <v>3381.4285714285716</v>
      </c>
      <c r="E27" s="675">
        <f t="shared" ca="1" si="3"/>
        <v>140111.40124248739</v>
      </c>
      <c r="F27" s="675">
        <f t="shared" si="3"/>
        <v>2676.440094331575</v>
      </c>
      <c r="G27" s="675">
        <f t="shared" ca="1" si="3"/>
        <v>44595.162698021362</v>
      </c>
      <c r="H27" s="675">
        <f t="shared" si="3"/>
        <v>188351.11165670288</v>
      </c>
      <c r="I27" s="675">
        <f t="shared" si="3"/>
        <v>41206.530943738187</v>
      </c>
      <c r="J27" s="675">
        <f t="shared" si="3"/>
        <v>0</v>
      </c>
      <c r="K27" s="675">
        <f t="shared" si="3"/>
        <v>230.75314367857578</v>
      </c>
      <c r="L27" s="675">
        <f t="shared" si="3"/>
        <v>0</v>
      </c>
      <c r="M27" s="675">
        <f t="shared" ca="1" si="3"/>
        <v>0</v>
      </c>
      <c r="N27" s="675">
        <f t="shared" si="3"/>
        <v>12214.357815193885</v>
      </c>
      <c r="O27" s="675">
        <f t="shared" ca="1" si="3"/>
        <v>13320.414762621314</v>
      </c>
      <c r="P27" s="675">
        <f t="shared" si="3"/>
        <v>250.13333333333335</v>
      </c>
      <c r="Q27" s="675">
        <f t="shared" si="3"/>
        <v>934.26666666666677</v>
      </c>
      <c r="R27" s="675">
        <f t="shared" ca="1" si="3"/>
        <v>514047.04483695701</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6102.4639034631582</v>
      </c>
      <c r="D40" s="973">
        <f ca="1">tertiair!C20</f>
        <v>803.5865546218489</v>
      </c>
      <c r="E40" s="973">
        <f ca="1">tertiair!D20</f>
        <v>8395.2288338226081</v>
      </c>
      <c r="F40" s="973">
        <f>tertiair!E20</f>
        <v>75.237243172707792</v>
      </c>
      <c r="G40" s="973">
        <f ca="1">tertiair!F20</f>
        <v>1166.8434740376197</v>
      </c>
      <c r="H40" s="973">
        <f>tertiair!G20</f>
        <v>0</v>
      </c>
      <c r="I40" s="973">
        <f>tertiair!H20</f>
        <v>0</v>
      </c>
      <c r="J40" s="973">
        <f>tertiair!I20</f>
        <v>0</v>
      </c>
      <c r="K40" s="973">
        <f>tertiair!J20</f>
        <v>1.4818062811210895E-2</v>
      </c>
      <c r="L40" s="973">
        <f>tertiair!K20</f>
        <v>0</v>
      </c>
      <c r="M40" s="973">
        <f ca="1">tertiair!L20</f>
        <v>0</v>
      </c>
      <c r="N40" s="973">
        <f>tertiair!M20</f>
        <v>0</v>
      </c>
      <c r="O40" s="973">
        <f ca="1">tertiair!N20</f>
        <v>0</v>
      </c>
      <c r="P40" s="973">
        <f>tertiair!O20</f>
        <v>0</v>
      </c>
      <c r="Q40" s="742">
        <f>tertiair!P20</f>
        <v>0</v>
      </c>
      <c r="R40" s="818">
        <f t="shared" ca="1" si="4"/>
        <v>16543.374827180756</v>
      </c>
    </row>
    <row r="41" spans="1:18">
      <c r="A41" s="790" t="s">
        <v>219</v>
      </c>
      <c r="B41" s="797"/>
      <c r="C41" s="973">
        <f ca="1">huishoudens!B12</f>
        <v>6962.0322868396388</v>
      </c>
      <c r="D41" s="973">
        <f ca="1">huishoudens!C12</f>
        <v>0</v>
      </c>
      <c r="E41" s="973">
        <f>huishoudens!D12</f>
        <v>18770.490671677144</v>
      </c>
      <c r="F41" s="973">
        <f>huishoudens!E12</f>
        <v>339.33965533333355</v>
      </c>
      <c r="G41" s="973">
        <f>huishoudens!F12</f>
        <v>10112.296566104851</v>
      </c>
      <c r="H41" s="973">
        <f>huishoudens!G12</f>
        <v>0</v>
      </c>
      <c r="I41" s="973">
        <f>huishoudens!H12</f>
        <v>0</v>
      </c>
      <c r="J41" s="973">
        <f>huishoudens!I12</f>
        <v>0</v>
      </c>
      <c r="K41" s="973">
        <f>huishoudens!J12</f>
        <v>64.514493423767505</v>
      </c>
      <c r="L41" s="973">
        <f>huishoudens!K12</f>
        <v>0</v>
      </c>
      <c r="M41" s="973">
        <f>huishoudens!L12</f>
        <v>0</v>
      </c>
      <c r="N41" s="973">
        <f>huishoudens!M12</f>
        <v>0</v>
      </c>
      <c r="O41" s="973">
        <f>huishoudens!N12</f>
        <v>0</v>
      </c>
      <c r="P41" s="973">
        <f>huishoudens!O12</f>
        <v>0</v>
      </c>
      <c r="Q41" s="742">
        <f>huishoudens!P12</f>
        <v>0</v>
      </c>
      <c r="R41" s="818">
        <f t="shared" ca="1" si="4"/>
        <v>36248.673673378733</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462.32250863970063</v>
      </c>
      <c r="D43" s="973">
        <f ca="1">industrie!C22</f>
        <v>0</v>
      </c>
      <c r="E43" s="973">
        <f>industrie!D22</f>
        <v>436.48298101770536</v>
      </c>
      <c r="F43" s="973">
        <f>industrie!E22</f>
        <v>79.118946819335378</v>
      </c>
      <c r="G43" s="973">
        <f>industrie!F22</f>
        <v>272.39749193961353</v>
      </c>
      <c r="H43" s="973">
        <f>industrie!G22</f>
        <v>0</v>
      </c>
      <c r="I43" s="973">
        <f>industrie!H22</f>
        <v>0</v>
      </c>
      <c r="J43" s="973">
        <f>industrie!I22</f>
        <v>0</v>
      </c>
      <c r="K43" s="973">
        <f>industrie!J22</f>
        <v>0.77162943020613506</v>
      </c>
      <c r="L43" s="973">
        <f>industrie!K22</f>
        <v>0</v>
      </c>
      <c r="M43" s="973">
        <f>industrie!L22</f>
        <v>0</v>
      </c>
      <c r="N43" s="973">
        <f>industrie!M22</f>
        <v>0</v>
      </c>
      <c r="O43" s="973">
        <f>industrie!N22</f>
        <v>0</v>
      </c>
      <c r="P43" s="973">
        <f>industrie!O22</f>
        <v>0</v>
      </c>
      <c r="Q43" s="742">
        <f>industrie!P22</f>
        <v>0</v>
      </c>
      <c r="R43" s="817">
        <f t="shared" ca="1" si="4"/>
        <v>1251.093557846561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13526.818698942499</v>
      </c>
      <c r="D46" s="700">
        <f t="shared" ref="D46:Q46" ca="1" si="5">SUM(D39:D45)</f>
        <v>803.5865546218489</v>
      </c>
      <c r="E46" s="700">
        <f t="shared" ca="1" si="5"/>
        <v>27602.202486517457</v>
      </c>
      <c r="F46" s="700">
        <f t="shared" si="5"/>
        <v>493.69584532537669</v>
      </c>
      <c r="G46" s="700">
        <f t="shared" ca="1" si="5"/>
        <v>11551.537532082084</v>
      </c>
      <c r="H46" s="700">
        <f t="shared" si="5"/>
        <v>0</v>
      </c>
      <c r="I46" s="700">
        <f t="shared" si="5"/>
        <v>0</v>
      </c>
      <c r="J46" s="700">
        <f t="shared" si="5"/>
        <v>0</v>
      </c>
      <c r="K46" s="700">
        <f t="shared" si="5"/>
        <v>65.300940916784853</v>
      </c>
      <c r="L46" s="700">
        <f t="shared" si="5"/>
        <v>0</v>
      </c>
      <c r="M46" s="700">
        <f t="shared" ca="1" si="5"/>
        <v>0</v>
      </c>
      <c r="N46" s="700">
        <f t="shared" si="5"/>
        <v>0</v>
      </c>
      <c r="O46" s="700">
        <f t="shared" ca="1" si="5"/>
        <v>0</v>
      </c>
      <c r="P46" s="700">
        <f t="shared" si="5"/>
        <v>0</v>
      </c>
      <c r="Q46" s="700">
        <f t="shared" si="5"/>
        <v>0</v>
      </c>
      <c r="R46" s="700">
        <f ca="1">SUM(R39:R45)</f>
        <v>54043.142058406047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8.6146322587330779</v>
      </c>
      <c r="D49" s="973">
        <f ca="1">transport!C58</f>
        <v>0</v>
      </c>
      <c r="E49" s="973">
        <f>transport!D58</f>
        <v>0</v>
      </c>
      <c r="F49" s="973">
        <f>transport!E58</f>
        <v>0</v>
      </c>
      <c r="G49" s="973">
        <f>transport!F58</f>
        <v>0</v>
      </c>
      <c r="H49" s="973">
        <f>transport!G58</f>
        <v>1042.5166772742718</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1051.1313095330049</v>
      </c>
    </row>
    <row r="50" spans="1:18">
      <c r="A50" s="793" t="s">
        <v>301</v>
      </c>
      <c r="B50" s="803"/>
      <c r="C50" s="671">
        <f ca="1">transport!B18</f>
        <v>33.508365165487341</v>
      </c>
      <c r="D50" s="671">
        <f>transport!C18</f>
        <v>0</v>
      </c>
      <c r="E50" s="671">
        <f>transport!D18</f>
        <v>50.499617529462689</v>
      </c>
      <c r="F50" s="671">
        <f>transport!E18</f>
        <v>111.72434888075801</v>
      </c>
      <c r="G50" s="671">
        <f>transport!F18</f>
        <v>0</v>
      </c>
      <c r="H50" s="671">
        <f>transport!G18</f>
        <v>49247.230135065402</v>
      </c>
      <c r="I50" s="671">
        <f>transport!H18</f>
        <v>10260.426204990808</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59703.388671631918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42.122997424220415</v>
      </c>
      <c r="D52" s="700">
        <f t="shared" ref="D52:Q52" ca="1" si="6">SUM(D48:D51)</f>
        <v>0</v>
      </c>
      <c r="E52" s="700">
        <f t="shared" si="6"/>
        <v>50.499617529462689</v>
      </c>
      <c r="F52" s="700">
        <f t="shared" si="6"/>
        <v>111.72434888075801</v>
      </c>
      <c r="G52" s="700">
        <f t="shared" si="6"/>
        <v>0</v>
      </c>
      <c r="H52" s="700">
        <f t="shared" si="6"/>
        <v>50289.746812339676</v>
      </c>
      <c r="I52" s="700">
        <f t="shared" si="6"/>
        <v>10260.426204990808</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60754.519981164922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66.21751372822952</v>
      </c>
      <c r="D54" s="671">
        <f ca="1">+landbouw!C12</f>
        <v>0</v>
      </c>
      <c r="E54" s="671">
        <f>+landbouw!D12</f>
        <v>60.243734245345692</v>
      </c>
      <c r="F54" s="671">
        <f>+landbouw!E12</f>
        <v>2.1317072071328034</v>
      </c>
      <c r="G54" s="671">
        <f>+landbouw!F12</f>
        <v>355.37090828962073</v>
      </c>
      <c r="H54" s="671">
        <f>+landbouw!G12</f>
        <v>0</v>
      </c>
      <c r="I54" s="671">
        <f>+landbouw!H12</f>
        <v>0</v>
      </c>
      <c r="J54" s="671">
        <f>+landbouw!I12</f>
        <v>0</v>
      </c>
      <c r="K54" s="671">
        <f>+landbouw!J12</f>
        <v>16.385671945430971</v>
      </c>
      <c r="L54" s="671">
        <f>+landbouw!K12</f>
        <v>0</v>
      </c>
      <c r="M54" s="671">
        <f>+landbouw!L12</f>
        <v>0</v>
      </c>
      <c r="N54" s="671">
        <f>+landbouw!M12</f>
        <v>0</v>
      </c>
      <c r="O54" s="671">
        <f>+landbouw!N12</f>
        <v>0</v>
      </c>
      <c r="P54" s="671">
        <f>+landbouw!O12</f>
        <v>0</v>
      </c>
      <c r="Q54" s="672">
        <f>+landbouw!P12</f>
        <v>0</v>
      </c>
      <c r="R54" s="699">
        <f ca="1">SUM(C54:Q54)</f>
        <v>500.34953541575976</v>
      </c>
    </row>
    <row r="55" spans="1:18" ht="15" thickBot="1">
      <c r="A55" s="793" t="s">
        <v>808</v>
      </c>
      <c r="B55" s="803"/>
      <c r="C55" s="671">
        <f ca="1">C25*'EF ele_warmte'!B12</f>
        <v>204.64906857121935</v>
      </c>
      <c r="D55" s="671"/>
      <c r="E55" s="671">
        <f>E25*EF_CO2_aardgas</f>
        <v>589.55721269018738</v>
      </c>
      <c r="F55" s="671"/>
      <c r="G55" s="671"/>
      <c r="H55" s="671"/>
      <c r="I55" s="671"/>
      <c r="J55" s="671"/>
      <c r="K55" s="671"/>
      <c r="L55" s="671"/>
      <c r="M55" s="671"/>
      <c r="N55" s="671"/>
      <c r="O55" s="671"/>
      <c r="P55" s="671"/>
      <c r="Q55" s="672"/>
      <c r="R55" s="699">
        <f ca="1">SUM(C55:Q55)</f>
        <v>794.20628126140673</v>
      </c>
    </row>
    <row r="56" spans="1:18" ht="15.75" thickBot="1">
      <c r="A56" s="791" t="s">
        <v>809</v>
      </c>
      <c r="B56" s="804"/>
      <c r="C56" s="700">
        <f ca="1">SUM(C54:C55)</f>
        <v>270.86658229944885</v>
      </c>
      <c r="D56" s="700">
        <f t="shared" ref="D56:Q56" ca="1" si="7">SUM(D54:D55)</f>
        <v>0</v>
      </c>
      <c r="E56" s="700">
        <f t="shared" si="7"/>
        <v>649.80094693553303</v>
      </c>
      <c r="F56" s="700">
        <f t="shared" si="7"/>
        <v>2.1317072071328034</v>
      </c>
      <c r="G56" s="700">
        <f t="shared" si="7"/>
        <v>355.37090828962073</v>
      </c>
      <c r="H56" s="700">
        <f t="shared" si="7"/>
        <v>0</v>
      </c>
      <c r="I56" s="700">
        <f t="shared" si="7"/>
        <v>0</v>
      </c>
      <c r="J56" s="700">
        <f t="shared" si="7"/>
        <v>0</v>
      </c>
      <c r="K56" s="700">
        <f t="shared" si="7"/>
        <v>16.385671945430971</v>
      </c>
      <c r="L56" s="700">
        <f t="shared" si="7"/>
        <v>0</v>
      </c>
      <c r="M56" s="700">
        <f t="shared" si="7"/>
        <v>0</v>
      </c>
      <c r="N56" s="700">
        <f t="shared" si="7"/>
        <v>0</v>
      </c>
      <c r="O56" s="700">
        <f t="shared" si="7"/>
        <v>0</v>
      </c>
      <c r="P56" s="700">
        <f t="shared" si="7"/>
        <v>0</v>
      </c>
      <c r="Q56" s="701">
        <f t="shared" si="7"/>
        <v>0</v>
      </c>
      <c r="R56" s="702">
        <f ca="1">SUM(R54:R55)</f>
        <v>1294.5558166771666</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13839.808278666167</v>
      </c>
      <c r="D61" s="708">
        <f t="shared" ref="D61:Q61" ca="1" si="8">D46+D52+D56</f>
        <v>803.5865546218489</v>
      </c>
      <c r="E61" s="708">
        <f t="shared" ca="1" si="8"/>
        <v>28302.503050982454</v>
      </c>
      <c r="F61" s="708">
        <f t="shared" si="8"/>
        <v>607.5519014132675</v>
      </c>
      <c r="G61" s="708">
        <f t="shared" ca="1" si="8"/>
        <v>11906.908440371704</v>
      </c>
      <c r="H61" s="708">
        <f t="shared" si="8"/>
        <v>50289.746812339676</v>
      </c>
      <c r="I61" s="708">
        <f t="shared" si="8"/>
        <v>10260.426204990808</v>
      </c>
      <c r="J61" s="708">
        <f t="shared" si="8"/>
        <v>0</v>
      </c>
      <c r="K61" s="708">
        <f t="shared" si="8"/>
        <v>81.686612862215824</v>
      </c>
      <c r="L61" s="708">
        <f t="shared" si="8"/>
        <v>0</v>
      </c>
      <c r="M61" s="708">
        <f t="shared" ca="1" si="8"/>
        <v>0</v>
      </c>
      <c r="N61" s="708">
        <f t="shared" si="8"/>
        <v>0</v>
      </c>
      <c r="O61" s="708">
        <f t="shared" ca="1" si="8"/>
        <v>0</v>
      </c>
      <c r="P61" s="708">
        <f t="shared" si="8"/>
        <v>0</v>
      </c>
      <c r="Q61" s="708">
        <f t="shared" si="8"/>
        <v>0</v>
      </c>
      <c r="R61" s="708">
        <f ca="1">R46+R52+R56</f>
        <v>116092.21785624814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0.20726018986341618</v>
      </c>
      <c r="D63" s="749">
        <f t="shared" ca="1" si="9"/>
        <v>0.23764705882352946</v>
      </c>
      <c r="E63" s="984">
        <f t="shared" ca="1" si="9"/>
        <v>0.20200000000000001</v>
      </c>
      <c r="F63" s="749">
        <f t="shared" si="9"/>
        <v>0.22699999999999998</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4329.7738163059375</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2367</v>
      </c>
      <c r="D76" s="994">
        <f>'lokale energieproductie'!C8</f>
        <v>2784.705882352941</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562.51058823529411</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4329.7738163059375</v>
      </c>
      <c r="C78" s="723">
        <f>SUM(C72:C77)</f>
        <v>2367</v>
      </c>
      <c r="D78" s="724">
        <f t="shared" ref="D78:H78" si="10">SUM(D76:D77)</f>
        <v>2784.705882352941</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562.51058823529411</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3381.4285714285716</v>
      </c>
      <c r="D87" s="745">
        <f>'lokale energieproductie'!C17</f>
        <v>3978.1512605042021</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803.5865546218489</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3381.4285714285716</v>
      </c>
      <c r="D90" s="723">
        <f t="shared" ref="D90:H90" si="12">SUM(D87:D89)</f>
        <v>3978.1512605042021</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803.5865546218489</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33590.784083656377</v>
      </c>
      <c r="C4" s="445">
        <f>huishoudens!C8</f>
        <v>0</v>
      </c>
      <c r="D4" s="445">
        <f>huishoudens!D8</f>
        <v>92923.221146916549</v>
      </c>
      <c r="E4" s="445">
        <f>huishoudens!E8</f>
        <v>1494.8883494860509</v>
      </c>
      <c r="F4" s="445">
        <f>huishoudens!F8</f>
        <v>37873.769910505056</v>
      </c>
      <c r="G4" s="445">
        <f>huishoudens!G8</f>
        <v>0</v>
      </c>
      <c r="H4" s="445">
        <f>huishoudens!H8</f>
        <v>0</v>
      </c>
      <c r="I4" s="445">
        <f>huishoudens!I8</f>
        <v>0</v>
      </c>
      <c r="J4" s="445">
        <f>huishoudens!J8</f>
        <v>182.24433170555793</v>
      </c>
      <c r="K4" s="445">
        <f>huishoudens!K8</f>
        <v>0</v>
      </c>
      <c r="L4" s="445">
        <f>huishoudens!L8</f>
        <v>0</v>
      </c>
      <c r="M4" s="445">
        <f>huishoudens!M8</f>
        <v>0</v>
      </c>
      <c r="N4" s="445">
        <f>huishoudens!N8</f>
        <v>11484.316252027664</v>
      </c>
      <c r="O4" s="445">
        <f>huishoudens!O8</f>
        <v>247.00666666666669</v>
      </c>
      <c r="P4" s="446">
        <f>huishoudens!P8</f>
        <v>915.2</v>
      </c>
      <c r="Q4" s="447">
        <f>SUM(B4:P4)</f>
        <v>178711.43074096393</v>
      </c>
    </row>
    <row r="5" spans="1:17">
      <c r="A5" s="444" t="s">
        <v>155</v>
      </c>
      <c r="B5" s="445">
        <f ca="1">tertiair!B16</f>
        <v>28061.440778254535</v>
      </c>
      <c r="C5" s="445">
        <f ca="1">tertiair!C16</f>
        <v>3381.4285714285716</v>
      </c>
      <c r="D5" s="445">
        <f ca="1">tertiair!D16</f>
        <v>41560.538781300034</v>
      </c>
      <c r="E5" s="445">
        <f>tertiair!E16</f>
        <v>331.44159987977002</v>
      </c>
      <c r="F5" s="445">
        <f ca="1">tertiair!F16</f>
        <v>4370.2002772944552</v>
      </c>
      <c r="G5" s="445">
        <f>tertiair!G16</f>
        <v>0</v>
      </c>
      <c r="H5" s="445">
        <f>tertiair!H16</f>
        <v>0</v>
      </c>
      <c r="I5" s="445">
        <f>tertiair!I16</f>
        <v>0</v>
      </c>
      <c r="J5" s="445">
        <f>tertiair!J16</f>
        <v>4.1858934494946036E-2</v>
      </c>
      <c r="K5" s="445">
        <f>tertiair!K16</f>
        <v>0</v>
      </c>
      <c r="L5" s="445">
        <f ca="1">tertiair!L16</f>
        <v>0</v>
      </c>
      <c r="M5" s="445">
        <f>tertiair!M16</f>
        <v>0</v>
      </c>
      <c r="N5" s="445">
        <f ca="1">tertiair!N16</f>
        <v>1681.4079463341332</v>
      </c>
      <c r="O5" s="445">
        <f>tertiair!O16</f>
        <v>3.1266666666666669</v>
      </c>
      <c r="P5" s="446">
        <f>tertiair!P16</f>
        <v>19.066666666666666</v>
      </c>
      <c r="Q5" s="444">
        <f t="shared" ref="Q5:Q14" ca="1" si="0">SUM(B5:P5)</f>
        <v>79408.693146759309</v>
      </c>
    </row>
    <row r="6" spans="1:17">
      <c r="A6" s="444" t="s">
        <v>193</v>
      </c>
      <c r="B6" s="445">
        <f>'openbare verlichting'!B8</f>
        <v>1382.0519999999999</v>
      </c>
      <c r="C6" s="445"/>
      <c r="D6" s="445"/>
      <c r="E6" s="445"/>
      <c r="F6" s="445"/>
      <c r="G6" s="445"/>
      <c r="H6" s="445"/>
      <c r="I6" s="445"/>
      <c r="J6" s="445"/>
      <c r="K6" s="445"/>
      <c r="L6" s="445"/>
      <c r="M6" s="445"/>
      <c r="N6" s="445"/>
      <c r="O6" s="445"/>
      <c r="P6" s="446"/>
      <c r="Q6" s="444">
        <f t="shared" si="0"/>
        <v>1382.0519999999999</v>
      </c>
    </row>
    <row r="7" spans="1:17">
      <c r="A7" s="444" t="s">
        <v>111</v>
      </c>
      <c r="B7" s="445">
        <f>landbouw!B8</f>
        <v>319.489786108305</v>
      </c>
      <c r="C7" s="445">
        <f>landbouw!C8</f>
        <v>0</v>
      </c>
      <c r="D7" s="445">
        <f>landbouw!D8</f>
        <v>298.2363081452757</v>
      </c>
      <c r="E7" s="445">
        <f>landbouw!E8</f>
        <v>9.3907806481621297</v>
      </c>
      <c r="F7" s="445">
        <f>landbouw!F8</f>
        <v>1330.9771846053211</v>
      </c>
      <c r="G7" s="445">
        <f>landbouw!G8</f>
        <v>0</v>
      </c>
      <c r="H7" s="445">
        <f>landbouw!H8</f>
        <v>0</v>
      </c>
      <c r="I7" s="445">
        <f>landbouw!I8</f>
        <v>0</v>
      </c>
      <c r="J7" s="445">
        <f>landbouw!J8</f>
        <v>46.287208885398222</v>
      </c>
      <c r="K7" s="445">
        <f>landbouw!K8</f>
        <v>0</v>
      </c>
      <c r="L7" s="445">
        <f>landbouw!L8</f>
        <v>0</v>
      </c>
      <c r="M7" s="445">
        <f>landbouw!M8</f>
        <v>0</v>
      </c>
      <c r="N7" s="445">
        <f>landbouw!N8</f>
        <v>0</v>
      </c>
      <c r="O7" s="445">
        <f>landbouw!O8</f>
        <v>0</v>
      </c>
      <c r="P7" s="446">
        <f>landbouw!P8</f>
        <v>0</v>
      </c>
      <c r="Q7" s="444">
        <f t="shared" si="0"/>
        <v>2004.3812683924621</v>
      </c>
    </row>
    <row r="8" spans="1:17">
      <c r="A8" s="444" t="s">
        <v>627</v>
      </c>
      <c r="B8" s="445">
        <f>industrie!B18</f>
        <v>2230.6382568903837</v>
      </c>
      <c r="C8" s="445">
        <f>industrie!C18</f>
        <v>0</v>
      </c>
      <c r="D8" s="445">
        <f>industrie!D18</f>
        <v>2160.8068367213136</v>
      </c>
      <c r="E8" s="445">
        <f>industrie!E18</f>
        <v>348.54161594420867</v>
      </c>
      <c r="F8" s="445">
        <f>industrie!F18</f>
        <v>1020.2153256165301</v>
      </c>
      <c r="G8" s="445">
        <f>industrie!G18</f>
        <v>0</v>
      </c>
      <c r="H8" s="445">
        <f>industrie!H18</f>
        <v>0</v>
      </c>
      <c r="I8" s="445">
        <f>industrie!I18</f>
        <v>0</v>
      </c>
      <c r="J8" s="445">
        <f>industrie!J18</f>
        <v>2.1797441531246755</v>
      </c>
      <c r="K8" s="445">
        <f>industrie!K18</f>
        <v>0</v>
      </c>
      <c r="L8" s="445">
        <f>industrie!L18</f>
        <v>0</v>
      </c>
      <c r="M8" s="445">
        <f>industrie!M18</f>
        <v>0</v>
      </c>
      <c r="N8" s="445">
        <f>industrie!N18</f>
        <v>154.69056425951788</v>
      </c>
      <c r="O8" s="445">
        <f>industrie!O18</f>
        <v>0</v>
      </c>
      <c r="P8" s="446">
        <f>industrie!P18</f>
        <v>0</v>
      </c>
      <c r="Q8" s="444">
        <f t="shared" si="0"/>
        <v>5917.0723435850778</v>
      </c>
    </row>
    <row r="9" spans="1:17" s="450" customFormat="1">
      <c r="A9" s="448" t="s">
        <v>553</v>
      </c>
      <c r="B9" s="449">
        <f>transport!B14</f>
        <v>161.6729444644881</v>
      </c>
      <c r="C9" s="449">
        <f>transport!C14</f>
        <v>0</v>
      </c>
      <c r="D9" s="449">
        <f>transport!D14</f>
        <v>249.99810658149846</v>
      </c>
      <c r="E9" s="449">
        <f>transport!E14</f>
        <v>492.17774837338334</v>
      </c>
      <c r="F9" s="449">
        <f>transport!F14</f>
        <v>0</v>
      </c>
      <c r="G9" s="449">
        <f>transport!G14</f>
        <v>184446.55481297901</v>
      </c>
      <c r="H9" s="449">
        <f>transport!H14</f>
        <v>41206.530943738187</v>
      </c>
      <c r="I9" s="449">
        <f>transport!I14</f>
        <v>0</v>
      </c>
      <c r="J9" s="449">
        <f>transport!J14</f>
        <v>0</v>
      </c>
      <c r="K9" s="449">
        <f>transport!K14</f>
        <v>0</v>
      </c>
      <c r="L9" s="449">
        <f>transport!L14</f>
        <v>0</v>
      </c>
      <c r="M9" s="449">
        <f>transport!M14</f>
        <v>11989.506110058326</v>
      </c>
      <c r="N9" s="449">
        <f>transport!N14</f>
        <v>0</v>
      </c>
      <c r="O9" s="449">
        <f>transport!O14</f>
        <v>0</v>
      </c>
      <c r="P9" s="449">
        <f>transport!P14</f>
        <v>0</v>
      </c>
      <c r="Q9" s="448">
        <f>SUM(B9:P9)</f>
        <v>238546.44066619489</v>
      </c>
    </row>
    <row r="10" spans="1:17">
      <c r="A10" s="444" t="s">
        <v>543</v>
      </c>
      <c r="B10" s="445">
        <f>transport!B54</f>
        <v>41.564336423748784</v>
      </c>
      <c r="C10" s="445">
        <f>transport!C54</f>
        <v>0</v>
      </c>
      <c r="D10" s="445">
        <f>transport!D54</f>
        <v>0</v>
      </c>
      <c r="E10" s="445">
        <f>transport!E54</f>
        <v>0</v>
      </c>
      <c r="F10" s="445">
        <f>transport!F54</f>
        <v>0</v>
      </c>
      <c r="G10" s="445">
        <f>transport!G54</f>
        <v>3904.5568437238644</v>
      </c>
      <c r="H10" s="445">
        <f>transport!H54</f>
        <v>0</v>
      </c>
      <c r="I10" s="445">
        <f>transport!I54</f>
        <v>0</v>
      </c>
      <c r="J10" s="445">
        <f>transport!J54</f>
        <v>0</v>
      </c>
      <c r="K10" s="445">
        <f>transport!K54</f>
        <v>0</v>
      </c>
      <c r="L10" s="445">
        <f>transport!L54</f>
        <v>0</v>
      </c>
      <c r="M10" s="445">
        <f>transport!M54</f>
        <v>224.85170513555977</v>
      </c>
      <c r="N10" s="445">
        <f>transport!N54</f>
        <v>0</v>
      </c>
      <c r="O10" s="445">
        <f>transport!O54</f>
        <v>0</v>
      </c>
      <c r="P10" s="446">
        <f>transport!P54</f>
        <v>0</v>
      </c>
      <c r="Q10" s="444">
        <f t="shared" si="0"/>
        <v>4170.9728852831731</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987.4017229554911</v>
      </c>
      <c r="C14" s="452"/>
      <c r="D14" s="452">
        <f>'SEAP template'!E25</f>
        <v>2918.6000628227098</v>
      </c>
      <c r="E14" s="452"/>
      <c r="F14" s="452"/>
      <c r="G14" s="452"/>
      <c r="H14" s="452"/>
      <c r="I14" s="452"/>
      <c r="J14" s="452"/>
      <c r="K14" s="452"/>
      <c r="L14" s="452"/>
      <c r="M14" s="452"/>
      <c r="N14" s="452"/>
      <c r="O14" s="452"/>
      <c r="P14" s="453"/>
      <c r="Q14" s="444">
        <f t="shared" si="0"/>
        <v>3906.0017857782009</v>
      </c>
    </row>
    <row r="15" spans="1:17" s="454" customFormat="1">
      <c r="A15" s="999" t="s">
        <v>547</v>
      </c>
      <c r="B15" s="947">
        <f ca="1">SUM(B4:B14)</f>
        <v>66775.04390875333</v>
      </c>
      <c r="C15" s="947">
        <f t="shared" ref="C15:Q15" ca="1" si="1">SUM(C4:C14)</f>
        <v>3381.4285714285716</v>
      </c>
      <c r="D15" s="947">
        <f t="shared" ca="1" si="1"/>
        <v>140111.40124248739</v>
      </c>
      <c r="E15" s="947">
        <f t="shared" si="1"/>
        <v>2676.440094331575</v>
      </c>
      <c r="F15" s="947">
        <f t="shared" ca="1" si="1"/>
        <v>44595.162698021362</v>
      </c>
      <c r="G15" s="947">
        <f t="shared" si="1"/>
        <v>188351.11165670288</v>
      </c>
      <c r="H15" s="947">
        <f t="shared" si="1"/>
        <v>41206.530943738187</v>
      </c>
      <c r="I15" s="947">
        <f t="shared" si="1"/>
        <v>0</v>
      </c>
      <c r="J15" s="947">
        <f t="shared" si="1"/>
        <v>230.75314367857578</v>
      </c>
      <c r="K15" s="947">
        <f t="shared" si="1"/>
        <v>0</v>
      </c>
      <c r="L15" s="947">
        <f t="shared" ca="1" si="1"/>
        <v>0</v>
      </c>
      <c r="M15" s="947">
        <f t="shared" si="1"/>
        <v>12214.357815193885</v>
      </c>
      <c r="N15" s="947">
        <f t="shared" ca="1" si="1"/>
        <v>13320.414762621314</v>
      </c>
      <c r="O15" s="947">
        <f t="shared" si="1"/>
        <v>250.13333333333335</v>
      </c>
      <c r="P15" s="947">
        <f t="shared" si="1"/>
        <v>934.26666666666677</v>
      </c>
      <c r="Q15" s="947">
        <f t="shared" ca="1" si="1"/>
        <v>514047.04483695707</v>
      </c>
    </row>
    <row r="17" spans="1:17">
      <c r="A17" s="455" t="s">
        <v>548</v>
      </c>
      <c r="B17" s="754">
        <f ca="1">huishoudens!B10</f>
        <v>0.20726018986341618</v>
      </c>
      <c r="C17" s="754">
        <f ca="1">huishoudens!C10</f>
        <v>0.23764705882352946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6962.0322868396388</v>
      </c>
      <c r="C22" s="445">
        <f t="shared" ref="C22:C32" ca="1" si="3">C4*$C$17</f>
        <v>0</v>
      </c>
      <c r="D22" s="445">
        <f t="shared" ref="D22:D32" si="4">D4*$D$17</f>
        <v>18770.490671677144</v>
      </c>
      <c r="E22" s="445">
        <f t="shared" ref="E22:E32" si="5">E4*$E$17</f>
        <v>339.33965533333355</v>
      </c>
      <c r="F22" s="445">
        <f t="shared" ref="F22:F32" si="6">F4*$F$17</f>
        <v>10112.296566104851</v>
      </c>
      <c r="G22" s="445">
        <f t="shared" ref="G22:G32" si="7">G4*$G$17</f>
        <v>0</v>
      </c>
      <c r="H22" s="445">
        <f t="shared" ref="H22:H32" si="8">H4*$H$17</f>
        <v>0</v>
      </c>
      <c r="I22" s="445">
        <f t="shared" ref="I22:I32" si="9">I4*$I$17</f>
        <v>0</v>
      </c>
      <c r="J22" s="445">
        <f t="shared" ref="J22:J32" si="10">J4*$J$17</f>
        <v>64.514493423767505</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36248.673673378733</v>
      </c>
    </row>
    <row r="23" spans="1:17">
      <c r="A23" s="444" t="s">
        <v>155</v>
      </c>
      <c r="B23" s="445">
        <f t="shared" ca="1" si="2"/>
        <v>5816.0195435420437</v>
      </c>
      <c r="C23" s="445">
        <f t="shared" ca="1" si="3"/>
        <v>803.5865546218489</v>
      </c>
      <c r="D23" s="445">
        <f t="shared" ca="1" si="4"/>
        <v>8395.2288338226081</v>
      </c>
      <c r="E23" s="445">
        <f t="shared" si="5"/>
        <v>75.237243172707792</v>
      </c>
      <c r="F23" s="445">
        <f t="shared" ca="1" si="6"/>
        <v>1166.8434740376197</v>
      </c>
      <c r="G23" s="445">
        <f t="shared" si="7"/>
        <v>0</v>
      </c>
      <c r="H23" s="445">
        <f t="shared" si="8"/>
        <v>0</v>
      </c>
      <c r="I23" s="445">
        <f t="shared" si="9"/>
        <v>0</v>
      </c>
      <c r="J23" s="445">
        <f t="shared" si="10"/>
        <v>1.4818062811210895E-2</v>
      </c>
      <c r="K23" s="445">
        <f t="shared" si="11"/>
        <v>0</v>
      </c>
      <c r="L23" s="445">
        <f t="shared" ca="1" si="12"/>
        <v>0</v>
      </c>
      <c r="M23" s="445">
        <f t="shared" si="13"/>
        <v>0</v>
      </c>
      <c r="N23" s="445">
        <f t="shared" ca="1" si="14"/>
        <v>0</v>
      </c>
      <c r="O23" s="445">
        <f t="shared" si="15"/>
        <v>0</v>
      </c>
      <c r="P23" s="446">
        <f t="shared" si="16"/>
        <v>0</v>
      </c>
      <c r="Q23" s="444">
        <f t="shared" ref="Q23:Q32" ca="1" si="17">SUM(B23:P23)</f>
        <v>16256.930467259639</v>
      </c>
    </row>
    <row r="24" spans="1:17">
      <c r="A24" s="444" t="s">
        <v>193</v>
      </c>
      <c r="B24" s="445">
        <f t="shared" ca="1" si="2"/>
        <v>286.44435992111403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286.44435992111403</v>
      </c>
    </row>
    <row r="25" spans="1:17">
      <c r="A25" s="444" t="s">
        <v>111</v>
      </c>
      <c r="B25" s="445">
        <f t="shared" ca="1" si="2"/>
        <v>66.21751372822952</v>
      </c>
      <c r="C25" s="445">
        <f t="shared" ca="1" si="3"/>
        <v>0</v>
      </c>
      <c r="D25" s="445">
        <f t="shared" si="4"/>
        <v>60.243734245345692</v>
      </c>
      <c r="E25" s="445">
        <f t="shared" si="5"/>
        <v>2.1317072071328034</v>
      </c>
      <c r="F25" s="445">
        <f t="shared" si="6"/>
        <v>355.37090828962073</v>
      </c>
      <c r="G25" s="445">
        <f t="shared" si="7"/>
        <v>0</v>
      </c>
      <c r="H25" s="445">
        <f t="shared" si="8"/>
        <v>0</v>
      </c>
      <c r="I25" s="445">
        <f t="shared" si="9"/>
        <v>0</v>
      </c>
      <c r="J25" s="445">
        <f t="shared" si="10"/>
        <v>16.385671945430971</v>
      </c>
      <c r="K25" s="445">
        <f t="shared" si="11"/>
        <v>0</v>
      </c>
      <c r="L25" s="445">
        <f t="shared" si="12"/>
        <v>0</v>
      </c>
      <c r="M25" s="445">
        <f t="shared" si="13"/>
        <v>0</v>
      </c>
      <c r="N25" s="445">
        <f t="shared" si="14"/>
        <v>0</v>
      </c>
      <c r="O25" s="445">
        <f t="shared" si="15"/>
        <v>0</v>
      </c>
      <c r="P25" s="446">
        <f t="shared" si="16"/>
        <v>0</v>
      </c>
      <c r="Q25" s="444">
        <f t="shared" ca="1" si="17"/>
        <v>500.34953541575976</v>
      </c>
    </row>
    <row r="26" spans="1:17">
      <c r="A26" s="444" t="s">
        <v>627</v>
      </c>
      <c r="B26" s="445">
        <f t="shared" ca="1" si="2"/>
        <v>462.32250863970063</v>
      </c>
      <c r="C26" s="445">
        <f t="shared" ca="1" si="3"/>
        <v>0</v>
      </c>
      <c r="D26" s="445">
        <f t="shared" si="4"/>
        <v>436.48298101770536</v>
      </c>
      <c r="E26" s="445">
        <f t="shared" si="5"/>
        <v>79.118946819335378</v>
      </c>
      <c r="F26" s="445">
        <f t="shared" si="6"/>
        <v>272.39749193961353</v>
      </c>
      <c r="G26" s="445">
        <f t="shared" si="7"/>
        <v>0</v>
      </c>
      <c r="H26" s="445">
        <f t="shared" si="8"/>
        <v>0</v>
      </c>
      <c r="I26" s="445">
        <f t="shared" si="9"/>
        <v>0</v>
      </c>
      <c r="J26" s="445">
        <f t="shared" si="10"/>
        <v>0.77162943020613506</v>
      </c>
      <c r="K26" s="445">
        <f t="shared" si="11"/>
        <v>0</v>
      </c>
      <c r="L26" s="445">
        <f t="shared" si="12"/>
        <v>0</v>
      </c>
      <c r="M26" s="445">
        <f t="shared" si="13"/>
        <v>0</v>
      </c>
      <c r="N26" s="445">
        <f t="shared" si="14"/>
        <v>0</v>
      </c>
      <c r="O26" s="445">
        <f t="shared" si="15"/>
        <v>0</v>
      </c>
      <c r="P26" s="446">
        <f t="shared" si="16"/>
        <v>0</v>
      </c>
      <c r="Q26" s="444">
        <f t="shared" ca="1" si="17"/>
        <v>1251.093557846561</v>
      </c>
    </row>
    <row r="27" spans="1:17" s="450" customFormat="1">
      <c r="A27" s="448" t="s">
        <v>553</v>
      </c>
      <c r="B27" s="748">
        <f t="shared" ca="1" si="2"/>
        <v>33.508365165487341</v>
      </c>
      <c r="C27" s="449">
        <f t="shared" ca="1" si="3"/>
        <v>0</v>
      </c>
      <c r="D27" s="449">
        <f t="shared" si="4"/>
        <v>50.499617529462689</v>
      </c>
      <c r="E27" s="449">
        <f t="shared" si="5"/>
        <v>111.72434888075801</v>
      </c>
      <c r="F27" s="449">
        <f t="shared" si="6"/>
        <v>0</v>
      </c>
      <c r="G27" s="449">
        <f t="shared" si="7"/>
        <v>49247.230135065402</v>
      </c>
      <c r="H27" s="449">
        <f t="shared" si="8"/>
        <v>10260.426204990808</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59703.388671631918</v>
      </c>
    </row>
    <row r="28" spans="1:17">
      <c r="A28" s="444" t="s">
        <v>543</v>
      </c>
      <c r="B28" s="445">
        <f t="shared" ca="1" si="2"/>
        <v>8.6146322587330779</v>
      </c>
      <c r="C28" s="445">
        <f t="shared" ca="1" si="3"/>
        <v>0</v>
      </c>
      <c r="D28" s="445">
        <f t="shared" si="4"/>
        <v>0</v>
      </c>
      <c r="E28" s="445">
        <f t="shared" si="5"/>
        <v>0</v>
      </c>
      <c r="F28" s="445">
        <f t="shared" si="6"/>
        <v>0</v>
      </c>
      <c r="G28" s="445">
        <f t="shared" si="7"/>
        <v>1042.5166772742718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1051.1313095330049</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204.64906857121935</v>
      </c>
      <c r="C32" s="445">
        <f t="shared" ca="1" si="3"/>
        <v>0</v>
      </c>
      <c r="D32" s="445">
        <f t="shared" si="4"/>
        <v>589.55721269018738</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794.20628126140673</v>
      </c>
    </row>
    <row r="33" spans="1:17" s="454" customFormat="1">
      <c r="A33" s="999" t="s">
        <v>547</v>
      </c>
      <c r="B33" s="947">
        <f ca="1">SUM(B22:B32)</f>
        <v>13839.808278666169</v>
      </c>
      <c r="C33" s="947">
        <f t="shared" ref="C33:Q33" ca="1" si="18">SUM(C22:C32)</f>
        <v>803.5865546218489</v>
      </c>
      <c r="D33" s="947">
        <f t="shared" ca="1" si="18"/>
        <v>28302.50305098245</v>
      </c>
      <c r="E33" s="947">
        <f t="shared" si="18"/>
        <v>607.55190141326761</v>
      </c>
      <c r="F33" s="947">
        <f t="shared" ca="1" si="18"/>
        <v>11906.908440371704</v>
      </c>
      <c r="G33" s="947">
        <f t="shared" si="18"/>
        <v>50289.746812339676</v>
      </c>
      <c r="H33" s="947">
        <f t="shared" si="18"/>
        <v>10260.426204990808</v>
      </c>
      <c r="I33" s="947">
        <f t="shared" si="18"/>
        <v>0</v>
      </c>
      <c r="J33" s="947">
        <f t="shared" si="18"/>
        <v>81.686612862215824</v>
      </c>
      <c r="K33" s="947">
        <f t="shared" si="18"/>
        <v>0</v>
      </c>
      <c r="L33" s="947">
        <f t="shared" ca="1" si="18"/>
        <v>0</v>
      </c>
      <c r="M33" s="947">
        <f t="shared" si="18"/>
        <v>0</v>
      </c>
      <c r="N33" s="947">
        <f t="shared" ca="1" si="18"/>
        <v>0</v>
      </c>
      <c r="O33" s="947">
        <f t="shared" si="18"/>
        <v>0</v>
      </c>
      <c r="P33" s="947">
        <f t="shared" si="18"/>
        <v>0</v>
      </c>
      <c r="Q33" s="947">
        <f t="shared" ca="1" si="18"/>
        <v>116092.21785624813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4329.7738163059375</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2367</v>
      </c>
      <c r="D8" s="1016">
        <f>'SEAP template'!D76</f>
        <v>2784.705882352941</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562.51058823529411</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4329.7738163059375</v>
      </c>
      <c r="C10" s="1020">
        <f>SUM(C4:C9)</f>
        <v>2367</v>
      </c>
      <c r="D10" s="1020">
        <f t="shared" ref="D10:H10" si="0">SUM(D8:D9)</f>
        <v>2784.705882352941</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562.51058823529411</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0.20726018986341618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3381.4285714285716</v>
      </c>
      <c r="D17" s="1017">
        <f>'SEAP template'!D87</f>
        <v>3978.1512605042021</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803.5865546218489</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3381.4285714285716</v>
      </c>
      <c r="D20" s="1020">
        <f t="shared" ref="D20:H20" si="2">SUM(D17:D19)</f>
        <v>3978.1512605042021</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803.5865546218489</v>
      </c>
    </row>
    <row r="22" spans="1:16">
      <c r="A22" s="455" t="s">
        <v>833</v>
      </c>
      <c r="B22" s="754" t="s">
        <v>827</v>
      </c>
      <c r="C22" s="754">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0.20726018986341618</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0.20726018986341618</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0.20726018986341618</v>
      </c>
      <c r="C29" s="493">
        <f ca="1">'EF ele_warmte'!B22</f>
        <v>0.23764705882352946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8033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1490.19</v>
      </c>
      <c r="C14" s="324"/>
      <c r="D14" s="324"/>
      <c r="E14" s="324"/>
      <c r="F14" s="324"/>
    </row>
    <row r="15" spans="1:6">
      <c r="A15" s="1291" t="s">
        <v>183</v>
      </c>
      <c r="B15" s="1292">
        <v>0</v>
      </c>
      <c r="C15" s="324"/>
      <c r="D15" s="324"/>
      <c r="E15" s="324"/>
      <c r="F15" s="324"/>
    </row>
    <row r="16" spans="1:6">
      <c r="A16" s="1291" t="s">
        <v>6</v>
      </c>
      <c r="B16" s="1292">
        <v>0</v>
      </c>
      <c r="C16" s="324"/>
      <c r="D16" s="324"/>
      <c r="E16" s="324"/>
      <c r="F16" s="324"/>
    </row>
    <row r="17" spans="1:6">
      <c r="A17" s="1291" t="s">
        <v>7</v>
      </c>
      <c r="B17" s="1292">
        <v>195</v>
      </c>
      <c r="C17" s="324"/>
      <c r="D17" s="324"/>
      <c r="E17" s="324"/>
      <c r="F17" s="324"/>
    </row>
    <row r="18" spans="1:6">
      <c r="A18" s="1291" t="s">
        <v>8</v>
      </c>
      <c r="B18" s="1292">
        <v>214</v>
      </c>
      <c r="C18" s="324"/>
      <c r="D18" s="324"/>
      <c r="E18" s="324"/>
      <c r="F18" s="324"/>
    </row>
    <row r="19" spans="1:6">
      <c r="A19" s="1291" t="s">
        <v>9</v>
      </c>
      <c r="B19" s="1292">
        <v>207</v>
      </c>
      <c r="C19" s="324"/>
      <c r="D19" s="324"/>
      <c r="E19" s="324"/>
      <c r="F19" s="324"/>
    </row>
    <row r="20" spans="1:6">
      <c r="A20" s="1291" t="s">
        <v>10</v>
      </c>
      <c r="B20" s="1292">
        <v>98</v>
      </c>
      <c r="C20" s="324"/>
      <c r="D20" s="324"/>
      <c r="E20" s="324"/>
      <c r="F20" s="324"/>
    </row>
    <row r="21" spans="1:6">
      <c r="A21" s="1291" t="s">
        <v>11</v>
      </c>
      <c r="B21" s="1292">
        <v>0</v>
      </c>
      <c r="C21" s="324"/>
      <c r="D21" s="324"/>
      <c r="E21" s="324"/>
      <c r="F21" s="324"/>
    </row>
    <row r="22" spans="1:6">
      <c r="A22" s="1291" t="s">
        <v>12</v>
      </c>
      <c r="B22" s="1292">
        <v>4</v>
      </c>
      <c r="C22" s="324"/>
      <c r="D22" s="324"/>
      <c r="E22" s="324"/>
      <c r="F22" s="324"/>
    </row>
    <row r="23" spans="1:6">
      <c r="A23" s="1291" t="s">
        <v>13</v>
      </c>
      <c r="B23" s="1292">
        <v>0</v>
      </c>
      <c r="C23" s="324"/>
      <c r="D23" s="324"/>
      <c r="E23" s="324"/>
      <c r="F23" s="324"/>
    </row>
    <row r="24" spans="1:6">
      <c r="A24" s="1291" t="s">
        <v>14</v>
      </c>
      <c r="B24" s="1292">
        <v>1</v>
      </c>
      <c r="C24" s="324"/>
      <c r="D24" s="324"/>
      <c r="E24" s="324"/>
      <c r="F24" s="324"/>
    </row>
    <row r="25" spans="1:6">
      <c r="A25" s="1291" t="s">
        <v>15</v>
      </c>
      <c r="B25" s="1292">
        <v>0</v>
      </c>
      <c r="C25" s="324"/>
      <c r="D25" s="324"/>
      <c r="E25" s="324"/>
      <c r="F25" s="324"/>
    </row>
    <row r="26" spans="1:6">
      <c r="A26" s="1291" t="s">
        <v>16</v>
      </c>
      <c r="B26" s="1292">
        <v>207</v>
      </c>
      <c r="C26" s="324"/>
      <c r="D26" s="324"/>
      <c r="E26" s="324"/>
      <c r="F26" s="324"/>
    </row>
    <row r="27" spans="1:6">
      <c r="A27" s="1291" t="s">
        <v>17</v>
      </c>
      <c r="B27" s="1292">
        <v>33</v>
      </c>
      <c r="C27" s="324"/>
      <c r="D27" s="324"/>
      <c r="E27" s="324"/>
      <c r="F27" s="324"/>
    </row>
    <row r="28" spans="1:6" s="43" customFormat="1">
      <c r="A28" s="1293" t="s">
        <v>18</v>
      </c>
      <c r="B28" s="1294">
        <v>14</v>
      </c>
      <c r="C28" s="330"/>
      <c r="D28" s="330"/>
      <c r="E28" s="330"/>
      <c r="F28" s="330"/>
    </row>
    <row r="29" spans="1:6">
      <c r="A29" s="1293" t="s">
        <v>722</v>
      </c>
      <c r="B29" s="1294">
        <v>129</v>
      </c>
      <c r="C29" s="330"/>
      <c r="D29" s="330"/>
      <c r="E29" s="330"/>
      <c r="F29" s="330"/>
    </row>
    <row r="30" spans="1:6">
      <c r="A30" s="1286" t="s">
        <v>723</v>
      </c>
      <c r="B30" s="1295">
        <v>47</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8101</v>
      </c>
    </row>
    <row r="39" spans="1:6">
      <c r="A39" s="1291" t="s">
        <v>29</v>
      </c>
      <c r="B39" s="1291" t="s">
        <v>30</v>
      </c>
      <c r="C39" s="1292">
        <v>5700</v>
      </c>
      <c r="D39" s="1292">
        <v>103019092.180617</v>
      </c>
      <c r="E39" s="1292">
        <v>7999</v>
      </c>
      <c r="F39" s="1292">
        <v>30045508.802940302</v>
      </c>
    </row>
    <row r="40" spans="1:6">
      <c r="A40" s="1291" t="s">
        <v>29</v>
      </c>
      <c r="B40" s="1291" t="s">
        <v>28</v>
      </c>
      <c r="C40" s="1292">
        <v>0</v>
      </c>
      <c r="D40" s="1292">
        <v>0</v>
      </c>
      <c r="E40" s="1292">
        <v>0</v>
      </c>
      <c r="F40" s="1292">
        <v>0</v>
      </c>
    </row>
    <row r="41" spans="1:6">
      <c r="A41" s="1291" t="s">
        <v>31</v>
      </c>
      <c r="B41" s="1291" t="s">
        <v>32</v>
      </c>
      <c r="C41" s="1292">
        <v>58</v>
      </c>
      <c r="D41" s="1292">
        <v>948412.83642756799</v>
      </c>
      <c r="E41" s="1292">
        <v>122</v>
      </c>
      <c r="F41" s="1292">
        <v>1068877.6868606899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183493.75473686299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38</v>
      </c>
      <c r="D48" s="1292">
        <v>1137524.7640190099</v>
      </c>
      <c r="E48" s="1292">
        <v>60</v>
      </c>
      <c r="F48" s="1292">
        <v>608870.315970939</v>
      </c>
    </row>
    <row r="49" spans="1:6">
      <c r="A49" s="1291" t="s">
        <v>31</v>
      </c>
      <c r="B49" s="1291" t="s">
        <v>39</v>
      </c>
      <c r="C49" s="1292">
        <v>0</v>
      </c>
      <c r="D49" s="1292">
        <v>0</v>
      </c>
      <c r="E49" s="1292">
        <v>0</v>
      </c>
      <c r="F49" s="1292">
        <v>0</v>
      </c>
    </row>
    <row r="50" spans="1:6">
      <c r="A50" s="1291" t="s">
        <v>31</v>
      </c>
      <c r="B50" s="1291" t="s">
        <v>40</v>
      </c>
      <c r="C50" s="1292">
        <v>4</v>
      </c>
      <c r="D50" s="1292">
        <v>309635.38926662999</v>
      </c>
      <c r="E50" s="1292">
        <v>9</v>
      </c>
      <c r="F50" s="1292">
        <v>369396.49932189198</v>
      </c>
    </row>
    <row r="51" spans="1:6">
      <c r="A51" s="1291" t="s">
        <v>41</v>
      </c>
      <c r="B51" s="1291" t="s">
        <v>42</v>
      </c>
      <c r="C51" s="1292">
        <v>0</v>
      </c>
      <c r="D51" s="1292">
        <v>0</v>
      </c>
      <c r="E51" s="1292">
        <v>22</v>
      </c>
      <c r="F51" s="1292">
        <v>198574.86515385701</v>
      </c>
    </row>
    <row r="52" spans="1:6">
      <c r="A52" s="1291" t="s">
        <v>41</v>
      </c>
      <c r="B52" s="1291" t="s">
        <v>28</v>
      </c>
      <c r="C52" s="1292">
        <v>12</v>
      </c>
      <c r="D52" s="1292">
        <v>330638.92255573801</v>
      </c>
      <c r="E52" s="1292">
        <v>14</v>
      </c>
      <c r="F52" s="1292">
        <v>120914.920954448</v>
      </c>
    </row>
    <row r="53" spans="1:6">
      <c r="A53" s="1291" t="s">
        <v>43</v>
      </c>
      <c r="B53" s="1291" t="s">
        <v>44</v>
      </c>
      <c r="C53" s="1292">
        <v>147</v>
      </c>
      <c r="D53" s="1292">
        <v>2918600.0628227098</v>
      </c>
      <c r="E53" s="1292">
        <v>299</v>
      </c>
      <c r="F53" s="1292">
        <v>987401.72295549104</v>
      </c>
    </row>
    <row r="54" spans="1:6">
      <c r="A54" s="1291" t="s">
        <v>45</v>
      </c>
      <c r="B54" s="1291" t="s">
        <v>46</v>
      </c>
      <c r="C54" s="1292">
        <v>0</v>
      </c>
      <c r="D54" s="1292">
        <v>0</v>
      </c>
      <c r="E54" s="1292">
        <v>1</v>
      </c>
      <c r="F54" s="1292">
        <v>1382052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27</v>
      </c>
      <c r="D57" s="1292">
        <v>797887.71491715102</v>
      </c>
      <c r="E57" s="1292">
        <v>38</v>
      </c>
      <c r="F57" s="1292">
        <v>394921.19697605498</v>
      </c>
    </row>
    <row r="58" spans="1:6">
      <c r="A58" s="1291" t="s">
        <v>48</v>
      </c>
      <c r="B58" s="1291" t="s">
        <v>50</v>
      </c>
      <c r="C58" s="1292">
        <v>20</v>
      </c>
      <c r="D58" s="1292">
        <v>726065.27731720696</v>
      </c>
      <c r="E58" s="1292">
        <v>28</v>
      </c>
      <c r="F58" s="1292">
        <v>188845.23532371601</v>
      </c>
    </row>
    <row r="59" spans="1:6">
      <c r="A59" s="1291" t="s">
        <v>48</v>
      </c>
      <c r="B59" s="1291" t="s">
        <v>51</v>
      </c>
      <c r="C59" s="1292">
        <v>59</v>
      </c>
      <c r="D59" s="1292">
        <v>2988000.16588932</v>
      </c>
      <c r="E59" s="1292">
        <v>105</v>
      </c>
      <c r="F59" s="1292">
        <v>4094284.2506704</v>
      </c>
    </row>
    <row r="60" spans="1:6">
      <c r="A60" s="1291" t="s">
        <v>48</v>
      </c>
      <c r="B60" s="1291" t="s">
        <v>52</v>
      </c>
      <c r="C60" s="1292">
        <v>32</v>
      </c>
      <c r="D60" s="1292">
        <v>1272532.70530833</v>
      </c>
      <c r="E60" s="1292">
        <v>37</v>
      </c>
      <c r="F60" s="1292">
        <v>818409.68056501402</v>
      </c>
    </row>
    <row r="61" spans="1:6">
      <c r="A61" s="1291" t="s">
        <v>48</v>
      </c>
      <c r="B61" s="1291" t="s">
        <v>53</v>
      </c>
      <c r="C61" s="1292">
        <v>153</v>
      </c>
      <c r="D61" s="1292">
        <v>17267792.009127799</v>
      </c>
      <c r="E61" s="1292">
        <v>347</v>
      </c>
      <c r="F61" s="1292">
        <v>6451791.5024758503</v>
      </c>
    </row>
    <row r="62" spans="1:6">
      <c r="A62" s="1291" t="s">
        <v>48</v>
      </c>
      <c r="B62" s="1291" t="s">
        <v>54</v>
      </c>
      <c r="C62" s="1292">
        <v>0</v>
      </c>
      <c r="D62" s="1292">
        <v>0</v>
      </c>
      <c r="E62" s="1292">
        <v>0</v>
      </c>
      <c r="F62" s="1292">
        <v>0</v>
      </c>
    </row>
    <row r="63" spans="1:6">
      <c r="A63" s="1291" t="s">
        <v>48</v>
      </c>
      <c r="B63" s="1291" t="s">
        <v>28</v>
      </c>
      <c r="C63" s="1292">
        <v>177</v>
      </c>
      <c r="D63" s="1292">
        <v>30521331.799454801</v>
      </c>
      <c r="E63" s="1292">
        <v>207</v>
      </c>
      <c r="F63" s="1292">
        <v>13746188.9122435</v>
      </c>
    </row>
    <row r="64" spans="1:6">
      <c r="A64" s="1291" t="s">
        <v>55</v>
      </c>
      <c r="B64" s="1291" t="s">
        <v>56</v>
      </c>
      <c r="C64" s="1292">
        <v>0</v>
      </c>
      <c r="D64" s="1292">
        <v>0</v>
      </c>
      <c r="E64" s="1292">
        <v>0</v>
      </c>
      <c r="F64" s="1292">
        <v>0</v>
      </c>
    </row>
    <row r="65" spans="1:6">
      <c r="A65" s="1291" t="s">
        <v>55</v>
      </c>
      <c r="B65" s="1291" t="s">
        <v>28</v>
      </c>
      <c r="C65" s="1292">
        <v>5</v>
      </c>
      <c r="D65" s="1292">
        <v>361681.00972183503</v>
      </c>
      <c r="E65" s="1292">
        <v>9</v>
      </c>
      <c r="F65" s="1292">
        <v>427120.19528463698</v>
      </c>
    </row>
    <row r="66" spans="1:6">
      <c r="A66" s="1291" t="s">
        <v>55</v>
      </c>
      <c r="B66" s="1291" t="s">
        <v>57</v>
      </c>
      <c r="C66" s="1292">
        <v>0</v>
      </c>
      <c r="D66" s="1292">
        <v>0</v>
      </c>
      <c r="E66" s="1292">
        <v>8</v>
      </c>
      <c r="F66" s="1292">
        <v>280159</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86476.535237809701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31036109</v>
      </c>
      <c r="E73" s="443"/>
      <c r="F73" s="324"/>
    </row>
    <row r="74" spans="1:6">
      <c r="A74" s="1291" t="s">
        <v>63</v>
      </c>
      <c r="B74" s="1291" t="s">
        <v>648</v>
      </c>
      <c r="C74" s="1305" t="s">
        <v>650</v>
      </c>
      <c r="D74" s="1306">
        <v>819904</v>
      </c>
      <c r="E74" s="443"/>
      <c r="F74" s="324"/>
    </row>
    <row r="75" spans="1:6">
      <c r="A75" s="1291" t="s">
        <v>64</v>
      </c>
      <c r="B75" s="1291" t="s">
        <v>647</v>
      </c>
      <c r="C75" s="1305" t="s">
        <v>651</v>
      </c>
      <c r="D75" s="1306">
        <v>52715480</v>
      </c>
      <c r="E75" s="443"/>
      <c r="F75" s="324"/>
    </row>
    <row r="76" spans="1:6">
      <c r="A76" s="1291" t="s">
        <v>64</v>
      </c>
      <c r="B76" s="1291" t="s">
        <v>648</v>
      </c>
      <c r="C76" s="1305" t="s">
        <v>652</v>
      </c>
      <c r="D76" s="1306">
        <v>1105975</v>
      </c>
      <c r="E76" s="443"/>
      <c r="F76" s="324"/>
    </row>
    <row r="77" spans="1:6">
      <c r="A77" s="1291" t="s">
        <v>65</v>
      </c>
      <c r="B77" s="1291" t="s">
        <v>647</v>
      </c>
      <c r="C77" s="1305" t="s">
        <v>653</v>
      </c>
      <c r="D77" s="1306">
        <v>184467921</v>
      </c>
      <c r="E77" s="443"/>
      <c r="F77" s="324"/>
    </row>
    <row r="78" spans="1:6">
      <c r="A78" s="1286" t="s">
        <v>65</v>
      </c>
      <c r="B78" s="1286" t="s">
        <v>648</v>
      </c>
      <c r="C78" s="1286" t="s">
        <v>654</v>
      </c>
      <c r="D78" s="1307">
        <v>17421233</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1134448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3545.2752807160782</v>
      </c>
      <c r="C91" s="324"/>
      <c r="D91" s="324"/>
      <c r="E91" s="324"/>
      <c r="F91" s="324"/>
    </row>
    <row r="92" spans="1:6">
      <c r="A92" s="1286" t="s">
        <v>68</v>
      </c>
      <c r="B92" s="1287">
        <v>784.49853558985899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3438</v>
      </c>
      <c r="C97" s="324"/>
      <c r="D97" s="324"/>
      <c r="E97" s="324"/>
      <c r="F97" s="324"/>
    </row>
    <row r="98" spans="1:6">
      <c r="A98" s="1291" t="s">
        <v>71</v>
      </c>
      <c r="B98" s="1292">
        <v>1</v>
      </c>
      <c r="C98" s="324"/>
      <c r="D98" s="324"/>
      <c r="E98" s="324"/>
      <c r="F98" s="324"/>
    </row>
    <row r="99" spans="1:6">
      <c r="A99" s="1291" t="s">
        <v>72</v>
      </c>
      <c r="B99" s="1292">
        <v>75</v>
      </c>
      <c r="C99" s="324"/>
      <c r="D99" s="324"/>
      <c r="E99" s="324"/>
      <c r="F99" s="324"/>
    </row>
    <row r="100" spans="1:6">
      <c r="A100" s="1291" t="s">
        <v>73</v>
      </c>
      <c r="B100" s="1292">
        <v>477</v>
      </c>
      <c r="C100" s="324"/>
      <c r="D100" s="324"/>
      <c r="E100" s="324"/>
      <c r="F100" s="324"/>
    </row>
    <row r="101" spans="1:6">
      <c r="A101" s="1291" t="s">
        <v>74</v>
      </c>
      <c r="B101" s="1292">
        <v>48</v>
      </c>
      <c r="C101" s="324"/>
      <c r="D101" s="324"/>
      <c r="E101" s="324"/>
      <c r="F101" s="324"/>
    </row>
    <row r="102" spans="1:6">
      <c r="A102" s="1291" t="s">
        <v>75</v>
      </c>
      <c r="B102" s="1292">
        <v>87</v>
      </c>
      <c r="C102" s="324"/>
      <c r="D102" s="324"/>
      <c r="E102" s="324"/>
      <c r="F102" s="324"/>
    </row>
    <row r="103" spans="1:6">
      <c r="A103" s="1291" t="s">
        <v>76</v>
      </c>
      <c r="B103" s="1292">
        <v>105</v>
      </c>
      <c r="C103" s="324"/>
      <c r="D103" s="324"/>
      <c r="E103" s="324"/>
      <c r="F103" s="324"/>
    </row>
    <row r="104" spans="1:6">
      <c r="A104" s="1291" t="s">
        <v>77</v>
      </c>
      <c r="B104" s="1292">
        <v>2454</v>
      </c>
      <c r="C104" s="324"/>
      <c r="D104" s="324"/>
      <c r="E104" s="324"/>
      <c r="F104" s="324"/>
    </row>
    <row r="105" spans="1:6">
      <c r="A105" s="1286" t="s">
        <v>78</v>
      </c>
      <c r="B105" s="129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28</v>
      </c>
      <c r="C123" s="1292">
        <v>50</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108</v>
      </c>
      <c r="C129" s="324"/>
      <c r="D129" s="324"/>
      <c r="E129" s="324"/>
      <c r="F129" s="324"/>
    </row>
    <row r="130" spans="1:6">
      <c r="A130" s="1291" t="s">
        <v>289</v>
      </c>
      <c r="B130" s="1292">
        <v>2</v>
      </c>
      <c r="C130" s="324"/>
      <c r="D130" s="324"/>
      <c r="E130" s="324"/>
      <c r="F130" s="324"/>
    </row>
    <row r="131" spans="1:6">
      <c r="A131" s="1291" t="s">
        <v>290</v>
      </c>
      <c r="B131" s="1292">
        <v>1</v>
      </c>
      <c r="C131" s="324"/>
      <c r="D131" s="324"/>
      <c r="E131" s="324"/>
      <c r="F131" s="324"/>
    </row>
    <row r="132" spans="1:6">
      <c r="A132" s="1286" t="s">
        <v>291</v>
      </c>
      <c r="B132" s="1287">
        <v>20</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66775.04390875333</v>
      </c>
      <c r="C3" s="43" t="s">
        <v>169</v>
      </c>
      <c r="D3" s="43"/>
      <c r="E3" s="154"/>
      <c r="F3" s="43"/>
      <c r="G3" s="43"/>
      <c r="H3" s="43"/>
      <c r="I3" s="43"/>
      <c r="J3" s="43"/>
      <c r="K3" s="96"/>
    </row>
    <row r="4" spans="1:11">
      <c r="A4" s="352" t="s">
        <v>170</v>
      </c>
      <c r="B4" s="49">
        <f>IF(ISERROR('SEAP template'!B78+'SEAP template'!C78),0,'SEAP template'!B78+'SEAP template'!C78)</f>
        <v>6696.7738163059375</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562.51058823529411</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0.20726018986341618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803.5865546218489</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3381.4285714285716</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0.23764705882352946</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1382.0519999999999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1382.0519999999999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0.20726018986341618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286.44435992111403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30045.508802940301</v>
      </c>
      <c r="C5" s="17">
        <f>IF(ISERROR('Eigen informatie GS &amp; warmtenet'!B57),0,'Eigen informatie GS &amp; warmtenet'!B57)</f>
        <v>0</v>
      </c>
      <c r="D5" s="30">
        <f>(SUM(HH_hh_gas_kWh,HH_rest_gas_kWh)/1000)*0.902</f>
        <v>92923.221146916549</v>
      </c>
      <c r="E5" s="17">
        <f>B32*B41</f>
        <v>1494.8883494860509</v>
      </c>
      <c r="F5" s="17">
        <f>B36*B45</f>
        <v>37873.769910505056</v>
      </c>
      <c r="G5" s="18"/>
      <c r="H5" s="17"/>
      <c r="I5" s="17"/>
      <c r="J5" s="17">
        <f>B35*B44+C35*C44</f>
        <v>182.24433170555793</v>
      </c>
      <c r="K5" s="17"/>
      <c r="L5" s="17"/>
      <c r="M5" s="17"/>
      <c r="N5" s="17">
        <f>B34*B43+C34*C43</f>
        <v>11484.316252027664</v>
      </c>
      <c r="O5" s="17">
        <f>B52*B53*B54</f>
        <v>247.00666666666669</v>
      </c>
      <c r="P5" s="17">
        <f>B60*B61*B62/1000-B60*B61*B62/1000/B63</f>
        <v>915.2</v>
      </c>
    </row>
    <row r="6" spans="1:16">
      <c r="A6" s="16" t="s">
        <v>613</v>
      </c>
      <c r="B6" s="756">
        <f>kWh_PV_kleiner_dan_10kW</f>
        <v>3545.2752807160782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33590.784083656377</v>
      </c>
      <c r="C8" s="21">
        <f>C5</f>
        <v>0</v>
      </c>
      <c r="D8" s="21">
        <f>D5</f>
        <v>92923.221146916549</v>
      </c>
      <c r="E8" s="21">
        <f>E5</f>
        <v>1494.8883494860509</v>
      </c>
      <c r="F8" s="21">
        <f>F5</f>
        <v>37873.769910505056</v>
      </c>
      <c r="G8" s="21"/>
      <c r="H8" s="21"/>
      <c r="I8" s="21"/>
      <c r="J8" s="21">
        <f>J5</f>
        <v>182.24433170555793</v>
      </c>
      <c r="K8" s="21"/>
      <c r="L8" s="21">
        <f>L5</f>
        <v>0</v>
      </c>
      <c r="M8" s="21">
        <f>M5</f>
        <v>0</v>
      </c>
      <c r="N8" s="21">
        <f>N5</f>
        <v>11484.316252027664</v>
      </c>
      <c r="O8" s="21">
        <f>O5</f>
        <v>247.00666666666669</v>
      </c>
      <c r="P8" s="21">
        <f>P5</f>
        <v>915.2</v>
      </c>
    </row>
    <row r="9" spans="1:16">
      <c r="B9" s="19"/>
      <c r="C9" s="19"/>
      <c r="D9" s="254"/>
      <c r="E9" s="19"/>
      <c r="F9" s="19"/>
      <c r="G9" s="19"/>
      <c r="H9" s="19"/>
      <c r="I9" s="19"/>
      <c r="J9" s="19"/>
      <c r="K9" s="19"/>
      <c r="L9" s="19"/>
      <c r="M9" s="19"/>
      <c r="N9" s="19"/>
      <c r="O9" s="19"/>
      <c r="P9" s="19"/>
    </row>
    <row r="10" spans="1:16">
      <c r="A10" s="24" t="s">
        <v>213</v>
      </c>
      <c r="B10" s="25">
        <f ca="1">'EF ele_warmte'!B12</f>
        <v>0.20726018986341618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6962.0322868396388</v>
      </c>
      <c r="C12" s="23">
        <f ca="1">C10*C8</f>
        <v>0</v>
      </c>
      <c r="D12" s="23">
        <f>D8*D10</f>
        <v>18770.490671677144</v>
      </c>
      <c r="E12" s="23">
        <f>E10*E8</f>
        <v>339.33965533333355</v>
      </c>
      <c r="F12" s="23">
        <f>F10*F8</f>
        <v>10112.296566104851</v>
      </c>
      <c r="G12" s="23"/>
      <c r="H12" s="23"/>
      <c r="I12" s="23"/>
      <c r="J12" s="23">
        <f>J10*J8</f>
        <v>64.514493423767505</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8033</v>
      </c>
      <c r="C26" s="36"/>
      <c r="D26" s="225"/>
    </row>
    <row r="27" spans="1:5" s="15" customFormat="1">
      <c r="A27" s="227" t="s">
        <v>768</v>
      </c>
      <c r="B27" s="37">
        <f>SUM(HH_hh_gas_aantal,HH_rest_gas_aantal)</f>
        <v>5700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5415</v>
      </c>
      <c r="C31" s="34" t="s">
        <v>110</v>
      </c>
      <c r="D31" s="171"/>
    </row>
    <row r="32" spans="1:5">
      <c r="A32" s="168" t="s">
        <v>72</v>
      </c>
      <c r="B32" s="33">
        <f>IF((B21*($B$26-($B$27-0.05*$B$27)-$B$60))&lt;0,0,B21*($B$26-($B$27-0.05*$B$27)-$B$60))</f>
        <v>28.271270349428022</v>
      </c>
      <c r="C32" s="34" t="s">
        <v>110</v>
      </c>
      <c r="D32" s="171"/>
    </row>
    <row r="33" spans="1:6">
      <c r="A33" s="168" t="s">
        <v>73</v>
      </c>
      <c r="B33" s="33">
        <f>IF((B22*($B$26-($B$27-0.05*$B$27)-$B$60))&lt;0,0,B22*($B$26-($B$27-0.05*$B$27)-$B$60))</f>
        <v>587.78345190905088</v>
      </c>
      <c r="C33" s="34" t="s">
        <v>110</v>
      </c>
      <c r="D33" s="171"/>
    </row>
    <row r="34" spans="1:6">
      <c r="A34" s="168" t="s">
        <v>74</v>
      </c>
      <c r="B34" s="33">
        <f>IF((B24*($B$26-($B$27-0.05*$B$27)-$B$60))&lt;0,0,B24*($B$26-($B$27-0.05*$B$27)-$B$60))</f>
        <v>116.88923326698307</v>
      </c>
      <c r="C34" s="33">
        <f>B26*C24</f>
        <v>1644.3193702719752</v>
      </c>
      <c r="D34" s="230"/>
    </row>
    <row r="35" spans="1:6">
      <c r="A35" s="168" t="s">
        <v>76</v>
      </c>
      <c r="B35" s="33">
        <f>IF((B19*($B$26-($B$27-0.05*$B$27)-$B$60))&lt;0,0,B19*($B$26-($B$27-0.05*$B$27)-$B$60))</f>
        <v>21.398303144281858</v>
      </c>
      <c r="C35" s="33">
        <f>B35/2</f>
        <v>10.699151572140929</v>
      </c>
      <c r="D35" s="230"/>
    </row>
    <row r="36" spans="1:6">
      <c r="A36" s="168" t="s">
        <v>77</v>
      </c>
      <c r="B36" s="33">
        <f>IF((B18*($B$26-($B$27-0.05*$B$27)-$B$60))&lt;0,0,B18*($B$26-($B$27-0.05*$B$27)-$B$60))</f>
        <v>1815.6577413302562</v>
      </c>
      <c r="C36" s="34" t="s">
        <v>110</v>
      </c>
      <c r="D36" s="171"/>
    </row>
    <row r="37" spans="1:6">
      <c r="A37" s="168" t="s">
        <v>78</v>
      </c>
      <c r="B37" s="33">
        <f>B60</f>
        <v>48</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158</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48</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25694.440778254535</v>
      </c>
      <c r="C5" s="17">
        <f>IF(ISERROR('Eigen informatie GS &amp; warmtenet'!B58),0,'Eigen informatie GS &amp; warmtenet'!B58)</f>
        <v>0</v>
      </c>
      <c r="D5" s="30">
        <f>SUM(D6:D12)</f>
        <v>48323.395924157179</v>
      </c>
      <c r="E5" s="17">
        <f>SUM(E6:E12)</f>
        <v>331.44159987977002</v>
      </c>
      <c r="F5" s="17">
        <f>SUM(F6:F12)</f>
        <v>4370.2002772944552</v>
      </c>
      <c r="G5" s="18"/>
      <c r="H5" s="17"/>
      <c r="I5" s="17"/>
      <c r="J5" s="17">
        <f>SUM(J6:J12)</f>
        <v>4.1858934494946036E-2</v>
      </c>
      <c r="K5" s="17"/>
      <c r="L5" s="17"/>
      <c r="M5" s="17"/>
      <c r="N5" s="17">
        <f>SUM(N6:N12)</f>
        <v>1681.4079463341332</v>
      </c>
      <c r="O5" s="17">
        <f>B38*B39*B40</f>
        <v>3.1266666666666669</v>
      </c>
      <c r="P5" s="17">
        <f>B46*B47*B48/1000-B46*B47*B48/1000/B49</f>
        <v>19.066666666666666</v>
      </c>
      <c r="R5" s="32"/>
    </row>
    <row r="6" spans="1:18">
      <c r="A6" s="32" t="s">
        <v>53</v>
      </c>
      <c r="B6" s="37">
        <f>B26</f>
        <v>6451.7915024758504</v>
      </c>
      <c r="C6" s="33"/>
      <c r="D6" s="37">
        <f>IF(ISERROR(TER_kantoor_gas_kWh/1000),0,TER_kantoor_gas_kWh/1000)*0.902</f>
        <v>15575.548392233275</v>
      </c>
      <c r="E6" s="33">
        <f>$C$26*'E Balans VL '!I12/100/3.6*1000000</f>
        <v>4.0437683305282385E-2</v>
      </c>
      <c r="F6" s="33">
        <f>$C$26*('E Balans VL '!L12+'E Balans VL '!N12)/100/3.6*1000000</f>
        <v>969.52398257353525</v>
      </c>
      <c r="G6" s="34"/>
      <c r="H6" s="33"/>
      <c r="I6" s="33"/>
      <c r="J6" s="33">
        <f>$C$26*('E Balans VL '!D12+'E Balans VL '!E12)/100/3.6*1000000</f>
        <v>0</v>
      </c>
      <c r="K6" s="33"/>
      <c r="L6" s="33"/>
      <c r="M6" s="33"/>
      <c r="N6" s="33">
        <f>$C$26*'E Balans VL '!Y12/100/3.6*1000000</f>
        <v>6.1701819890484959</v>
      </c>
      <c r="O6" s="33"/>
      <c r="P6" s="33"/>
      <c r="R6" s="32"/>
    </row>
    <row r="7" spans="1:18">
      <c r="A7" s="32" t="s">
        <v>52</v>
      </c>
      <c r="B7" s="37">
        <f t="shared" ref="B7:B12" si="0">B27</f>
        <v>818.40968056501401</v>
      </c>
      <c r="C7" s="33"/>
      <c r="D7" s="37">
        <f>IF(ISERROR(TER_horeca_gas_kWh/1000),0,TER_horeca_gas_kWh/1000)*0.902</f>
        <v>1147.8245001881137</v>
      </c>
      <c r="E7" s="33">
        <f>$C$27*'E Balans VL '!I9/100/3.6*1000000</f>
        <v>11.719490304661647</v>
      </c>
      <c r="F7" s="33">
        <f>$C$27*('E Balans VL '!L9+'E Balans VL '!N9)/100/3.6*1000000</f>
        <v>103.63765775069332</v>
      </c>
      <c r="G7" s="34"/>
      <c r="H7" s="33"/>
      <c r="I7" s="33"/>
      <c r="J7" s="33">
        <f>$C$27*('E Balans VL '!D9+'E Balans VL '!E9)/100/3.6*1000000</f>
        <v>0</v>
      </c>
      <c r="K7" s="33"/>
      <c r="L7" s="33"/>
      <c r="M7" s="33"/>
      <c r="N7" s="33">
        <f>$C$27*'E Balans VL '!Y9/100/3.6*1000000</f>
        <v>0.23527473877790908</v>
      </c>
      <c r="O7" s="33"/>
      <c r="P7" s="33"/>
      <c r="R7" s="32"/>
    </row>
    <row r="8" spans="1:18">
      <c r="A8" s="6" t="s">
        <v>51</v>
      </c>
      <c r="B8" s="37">
        <f t="shared" si="0"/>
        <v>4094.2842506704001</v>
      </c>
      <c r="C8" s="33"/>
      <c r="D8" s="37">
        <f>IF(ISERROR(TER_handel_gas_kWh/1000),0,TER_handel_gas_kWh/1000)*0.902</f>
        <v>2695.1761496321665</v>
      </c>
      <c r="E8" s="33">
        <f>$C$28*'E Balans VL '!I13/100/3.6*1000000</f>
        <v>148.4991848873012</v>
      </c>
      <c r="F8" s="33">
        <f>$C$28*('E Balans VL '!L13+'E Balans VL '!N13)/100/3.6*1000000</f>
        <v>788.60060394292782</v>
      </c>
      <c r="G8" s="34"/>
      <c r="H8" s="33"/>
      <c r="I8" s="33"/>
      <c r="J8" s="33">
        <f>$C$28*('E Balans VL '!D13+'E Balans VL '!E13)/100/3.6*1000000</f>
        <v>0</v>
      </c>
      <c r="K8" s="33"/>
      <c r="L8" s="33"/>
      <c r="M8" s="33"/>
      <c r="N8" s="33">
        <f>$C$28*'E Balans VL '!Y13/100/3.6*1000000</f>
        <v>5.6715257399702885</v>
      </c>
      <c r="O8" s="33"/>
      <c r="P8" s="33"/>
      <c r="R8" s="32"/>
    </row>
    <row r="9" spans="1:18">
      <c r="A9" s="32" t="s">
        <v>50</v>
      </c>
      <c r="B9" s="37">
        <f t="shared" si="0"/>
        <v>188.84523532371603</v>
      </c>
      <c r="C9" s="33"/>
      <c r="D9" s="37">
        <f>IF(ISERROR(TER_gezond_gas_kWh/1000),0,TER_gezond_gas_kWh/1000)*0.902</f>
        <v>654.91088014012075</v>
      </c>
      <c r="E9" s="33">
        <f>$C$29*'E Balans VL '!I10/100/3.6*1000000</f>
        <v>1.1823576241120261E-2</v>
      </c>
      <c r="F9" s="33">
        <f>$C$29*('E Balans VL '!L10+'E Balans VL '!N10)/100/3.6*1000000</f>
        <v>28.05353468632147</v>
      </c>
      <c r="G9" s="34"/>
      <c r="H9" s="33"/>
      <c r="I9" s="33"/>
      <c r="J9" s="33">
        <f>$C$29*('E Balans VL '!D10+'E Balans VL '!E10)/100/3.6*1000000</f>
        <v>0</v>
      </c>
      <c r="K9" s="33"/>
      <c r="L9" s="33"/>
      <c r="M9" s="33"/>
      <c r="N9" s="33">
        <f>$C$29*'E Balans VL '!Y10/100/3.6*1000000</f>
        <v>2.9210763219948275</v>
      </c>
      <c r="O9" s="33"/>
      <c r="P9" s="33"/>
      <c r="R9" s="32"/>
    </row>
    <row r="10" spans="1:18">
      <c r="A10" s="32" t="s">
        <v>49</v>
      </c>
      <c r="B10" s="37">
        <f t="shared" si="0"/>
        <v>394.921196976055</v>
      </c>
      <c r="C10" s="33"/>
      <c r="D10" s="37">
        <f>IF(ISERROR(TER_ander_gas_kWh/1000),0,TER_ander_gas_kWh/1000)*0.902</f>
        <v>719.69471885527025</v>
      </c>
      <c r="E10" s="33">
        <f>$C$30*'E Balans VL '!I14/100/3.6*1000000</f>
        <v>0.47073195469640333</v>
      </c>
      <c r="F10" s="33">
        <f>$C$30*('E Balans VL '!L14+'E Balans VL '!N14)/100/3.6*1000000</f>
        <v>103.32894194638592</v>
      </c>
      <c r="G10" s="34"/>
      <c r="H10" s="33"/>
      <c r="I10" s="33"/>
      <c r="J10" s="33">
        <f>$C$30*('E Balans VL '!D14+'E Balans VL '!E14)/100/3.6*1000000</f>
        <v>8.572191138002656E-3</v>
      </c>
      <c r="K10" s="33"/>
      <c r="L10" s="33"/>
      <c r="M10" s="33"/>
      <c r="N10" s="33">
        <f>$C$30*'E Balans VL '!Y14/100/3.6*1000000</f>
        <v>335.35741688640059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13746.1889122435</v>
      </c>
      <c r="C12" s="33"/>
      <c r="D12" s="37">
        <f>IF(ISERROR(TER_rest_gas_kWh/1000),0,TER_rest_gas_kWh/1000)*0.902</f>
        <v>27530.241283108233</v>
      </c>
      <c r="E12" s="33">
        <f>$C$32*'E Balans VL '!I8/100/3.6*1000000</f>
        <v>170.69993147356436</v>
      </c>
      <c r="F12" s="33">
        <f>$C$32*('E Balans VL '!L8+'E Balans VL '!N8)/100/3.6*1000000</f>
        <v>2377.0555563945918</v>
      </c>
      <c r="G12" s="34"/>
      <c r="H12" s="33"/>
      <c r="I12" s="33"/>
      <c r="J12" s="33">
        <f>$C$32*('E Balans VL '!D8+'E Balans VL '!E8)/100/3.6*1000000</f>
        <v>3.3286743356943378E-2</v>
      </c>
      <c r="K12" s="33"/>
      <c r="L12" s="33"/>
      <c r="M12" s="33"/>
      <c r="N12" s="33">
        <f>$C$32*'E Balans VL '!Y8/100/3.6*1000000</f>
        <v>1331.0524706579411</v>
      </c>
      <c r="O12" s="33"/>
      <c r="P12" s="33"/>
      <c r="R12" s="32"/>
    </row>
    <row r="13" spans="1:18">
      <c r="A13" s="16" t="s">
        <v>480</v>
      </c>
      <c r="B13" s="243">
        <f ca="1">'lokale energieproductie'!N38+'lokale energieproductie'!N31</f>
        <v>2367</v>
      </c>
      <c r="C13" s="243">
        <f ca="1">'lokale energieproductie'!O38+'lokale energieproductie'!O31</f>
        <v>3381.4285714285716</v>
      </c>
      <c r="D13" s="302">
        <f ca="1">('lokale energieproductie'!P31+'lokale energieproductie'!P38)*(-1)</f>
        <v>-6762.8571428571431</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28061.440778254535</v>
      </c>
      <c r="C16" s="21">
        <f t="shared" ca="1" si="1"/>
        <v>3381.4285714285716</v>
      </c>
      <c r="D16" s="21">
        <f t="shared" ca="1" si="1"/>
        <v>41560.538781300034</v>
      </c>
      <c r="E16" s="21">
        <f t="shared" si="1"/>
        <v>331.44159987977002</v>
      </c>
      <c r="F16" s="21">
        <f t="shared" ca="1" si="1"/>
        <v>4370.2002772944552</v>
      </c>
      <c r="G16" s="21">
        <f t="shared" si="1"/>
        <v>0</v>
      </c>
      <c r="H16" s="21">
        <f t="shared" si="1"/>
        <v>0</v>
      </c>
      <c r="I16" s="21">
        <f t="shared" si="1"/>
        <v>0</v>
      </c>
      <c r="J16" s="21">
        <f t="shared" si="1"/>
        <v>4.1858934494946036E-2</v>
      </c>
      <c r="K16" s="21">
        <f t="shared" si="1"/>
        <v>0</v>
      </c>
      <c r="L16" s="21">
        <f t="shared" ca="1" si="1"/>
        <v>0</v>
      </c>
      <c r="M16" s="21">
        <f t="shared" si="1"/>
        <v>0</v>
      </c>
      <c r="N16" s="21">
        <f t="shared" ca="1" si="1"/>
        <v>1681.4079463341332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0.20726018986341618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5816.0195435420437</v>
      </c>
      <c r="C20" s="23">
        <f t="shared" ref="C20:P20" ca="1" si="2">C16*C18</f>
        <v>803.5865546218489</v>
      </c>
      <c r="D20" s="23">
        <f t="shared" ca="1" si="2"/>
        <v>8395.2288338226081</v>
      </c>
      <c r="E20" s="23">
        <f t="shared" si="2"/>
        <v>75.237243172707792</v>
      </c>
      <c r="F20" s="23">
        <f t="shared" ca="1" si="2"/>
        <v>1166.8434740376197</v>
      </c>
      <c r="G20" s="23">
        <f t="shared" si="2"/>
        <v>0</v>
      </c>
      <c r="H20" s="23">
        <f t="shared" si="2"/>
        <v>0</v>
      </c>
      <c r="I20" s="23">
        <f t="shared" si="2"/>
        <v>0</v>
      </c>
      <c r="J20" s="23">
        <f t="shared" si="2"/>
        <v>1.4818062811210895E-2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6451.7915024758504</v>
      </c>
      <c r="C26" s="39">
        <f>IF(ISERROR(B26*3.6/1000000/'E Balans VL '!Z12*100),0,B26*3.6/1000000/'E Balans VL '!Z12*100)</f>
        <v>0.13638065189904089</v>
      </c>
      <c r="D26" s="233" t="s">
        <v>732</v>
      </c>
      <c r="F26" s="6"/>
    </row>
    <row r="27" spans="1:18">
      <c r="A27" s="228" t="s">
        <v>52</v>
      </c>
      <c r="B27" s="33">
        <f>IF(ISERROR(TER_horeca_ele_kWh/1000),0,TER_horeca_ele_kWh/1000)</f>
        <v>818.40968056501401</v>
      </c>
      <c r="C27" s="39">
        <f>IF(ISERROR(B27*3.6/1000000/'E Balans VL '!Z9*100),0,B27*3.6/1000000/'E Balans VL '!Z9*100)</f>
        <v>6.4514930082079425E-2</v>
      </c>
      <c r="D27" s="233" t="s">
        <v>732</v>
      </c>
      <c r="F27" s="6"/>
    </row>
    <row r="28" spans="1:18">
      <c r="A28" s="168" t="s">
        <v>51</v>
      </c>
      <c r="B28" s="33">
        <f>IF(ISERROR(TER_handel_ele_kWh/1000),0,TER_handel_ele_kWh/1000)</f>
        <v>4094.2842506704001</v>
      </c>
      <c r="C28" s="39">
        <f>IF(ISERROR(B28*3.6/1000000/'E Balans VL '!Z13*100),0,B28*3.6/1000000/'E Balans VL '!Z13*100)</f>
        <v>0.1188326717165452</v>
      </c>
      <c r="D28" s="233" t="s">
        <v>732</v>
      </c>
      <c r="F28" s="6"/>
    </row>
    <row r="29" spans="1:18">
      <c r="A29" s="228" t="s">
        <v>50</v>
      </c>
      <c r="B29" s="33">
        <f>IF(ISERROR(TER_gezond_ele_kWh/1000),0,TER_gezond_ele_kWh/1000)</f>
        <v>188.84523532371603</v>
      </c>
      <c r="C29" s="39">
        <f>IF(ISERROR(B29*3.6/1000000/'E Balans VL '!Z10*100),0,B29*3.6/1000000/'E Balans VL '!Z10*100)</f>
        <v>1.9888504200203629E-2</v>
      </c>
      <c r="D29" s="233" t="s">
        <v>732</v>
      </c>
      <c r="F29" s="6"/>
    </row>
    <row r="30" spans="1:18">
      <c r="A30" s="228" t="s">
        <v>49</v>
      </c>
      <c r="B30" s="33">
        <f>IF(ISERROR(TER_ander_ele_kWh/1000),0,TER_ander_ele_kWh/1000)</f>
        <v>394.921196976055</v>
      </c>
      <c r="C30" s="39">
        <f>IF(ISERROR(B30*3.6/1000000/'E Balans VL '!Z14*100),0,B30*3.6/1000000/'E Balans VL '!Z14*100)</f>
        <v>2.9129473265411116E-2</v>
      </c>
      <c r="D30" s="233" t="s">
        <v>732</v>
      </c>
      <c r="F30" s="6"/>
    </row>
    <row r="31" spans="1:18">
      <c r="A31" s="228" t="s">
        <v>54</v>
      </c>
      <c r="B31" s="33">
        <f>IF(ISERROR(TER_onderwijs_ele_kWh/1000),0,TER_onderwijs_ele_kWh/1000)</f>
        <v>0</v>
      </c>
      <c r="C31" s="39">
        <f>IF(ISERROR(B31*3.6/1000000/'E Balans VL '!Z11*100),0,B31*3.6/1000000/'E Balans VL '!Z11*100)</f>
        <v>0</v>
      </c>
      <c r="D31" s="233" t="s">
        <v>732</v>
      </c>
    </row>
    <row r="32" spans="1:18">
      <c r="A32" s="228" t="s">
        <v>254</v>
      </c>
      <c r="B32" s="33">
        <f>IF(ISERROR(TER_rest_ele_kWh/1000),0,TER_rest_ele_kWh/1000)</f>
        <v>13746.1889122435</v>
      </c>
      <c r="C32" s="39">
        <f>IF(ISERROR(B32*3.6/1000000/'E Balans VL '!Z8*100),0,B32*3.6/1000000/'E Balans VL '!Z8*100)</f>
        <v>0.11311288853675849</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2230.6382568903837</v>
      </c>
      <c r="C5" s="17">
        <f>IF(ISERROR('Eigen informatie GS &amp; warmtenet'!B59),0,'Eigen informatie GS &amp; warmtenet'!B59)</f>
        <v>0</v>
      </c>
      <c r="D5" s="30">
        <f>SUM(D6:D15)</f>
        <v>2160.8068367213136</v>
      </c>
      <c r="E5" s="17">
        <f>SUM(E6:E15)</f>
        <v>348.54161594420867</v>
      </c>
      <c r="F5" s="17">
        <f>SUM(F6:F15)</f>
        <v>1020.2153256165301</v>
      </c>
      <c r="G5" s="18"/>
      <c r="H5" s="17"/>
      <c r="I5" s="17"/>
      <c r="J5" s="17">
        <f>SUM(J6:J15)</f>
        <v>2.1797441531246755</v>
      </c>
      <c r="K5" s="17"/>
      <c r="L5" s="17"/>
      <c r="M5" s="17"/>
      <c r="N5" s="17">
        <f>SUM(N6:N15)</f>
        <v>154.69056425951788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183.493754736863</v>
      </c>
      <c r="C8" s="33"/>
      <c r="D8" s="37">
        <f>IF( ISERROR(IND_metaal_Gas_kWH/1000),0,IND_metaal_Gas_kWH/1000)*0.902</f>
        <v>0</v>
      </c>
      <c r="E8" s="33">
        <f>C30*'E Balans VL '!I18/100/3.6*1000000</f>
        <v>1.6870478548517633</v>
      </c>
      <c r="F8" s="33">
        <f>C30*'E Balans VL '!L18/100/3.6*1000000+C30*'E Balans VL '!N18/100/3.6*1000000</f>
        <v>17.205605068828863</v>
      </c>
      <c r="G8" s="34"/>
      <c r="H8" s="33"/>
      <c r="I8" s="33"/>
      <c r="J8" s="40">
        <f>C30*'E Balans VL '!D18/100/3.6*1000000+C30*'E Balans VL '!E18/100/3.6*1000000</f>
        <v>0</v>
      </c>
      <c r="K8" s="33"/>
      <c r="L8" s="33"/>
      <c r="M8" s="33"/>
      <c r="N8" s="33">
        <f>C30*'E Balans VL '!Y18/100/3.6*1000000</f>
        <v>2.6178416475206472</v>
      </c>
      <c r="O8" s="33"/>
      <c r="P8" s="33"/>
      <c r="R8" s="32"/>
    </row>
    <row r="9" spans="1:18">
      <c r="A9" s="6" t="s">
        <v>32</v>
      </c>
      <c r="B9" s="37">
        <f t="shared" si="0"/>
        <v>1068.8776868606899</v>
      </c>
      <c r="C9" s="33"/>
      <c r="D9" s="37">
        <f>IF( ISERROR(IND_andere_gas_kWh/1000),0,IND_andere_gas_kWh/1000)*0.902</f>
        <v>855.46837845766629</v>
      </c>
      <c r="E9" s="33">
        <f>C31*'E Balans VL '!I19/100/3.6*1000000</f>
        <v>312.45375646358332</v>
      </c>
      <c r="F9" s="33">
        <f>C31*'E Balans VL '!L19/100/3.6*1000000+C31*'E Balans VL '!N19/100/3.6*1000000</f>
        <v>858.9241279992815</v>
      </c>
      <c r="G9" s="34"/>
      <c r="H9" s="33"/>
      <c r="I9" s="33"/>
      <c r="J9" s="40">
        <f>C31*'E Balans VL '!D19/100/3.6*1000000+C31*'E Balans VL '!E19/100/3.6*1000000</f>
        <v>0</v>
      </c>
      <c r="K9" s="33"/>
      <c r="L9" s="33"/>
      <c r="M9" s="33"/>
      <c r="N9" s="33">
        <f>C31*'E Balans VL '!Y19/100/3.6*1000000</f>
        <v>83.841314040952213</v>
      </c>
      <c r="O9" s="33"/>
      <c r="P9" s="33"/>
      <c r="R9" s="32"/>
    </row>
    <row r="10" spans="1:18">
      <c r="A10" s="6" t="s">
        <v>40</v>
      </c>
      <c r="B10" s="37">
        <f t="shared" si="0"/>
        <v>369.39649932189201</v>
      </c>
      <c r="C10" s="33"/>
      <c r="D10" s="37">
        <f>IF( ISERROR(IND_voed_gas_kWh/1000),0,IND_voed_gas_kWh/1000)*0.902</f>
        <v>279.29112111850026</v>
      </c>
      <c r="E10" s="33">
        <f>C32*'E Balans VL '!I20/100/3.6*1000000</f>
        <v>0.78146402187602104</v>
      </c>
      <c r="F10" s="33">
        <f>C32*'E Balans VL '!L20/100/3.6*1000000+C32*'E Balans VL '!N20/100/3.6*1000000</f>
        <v>23.486606754345001</v>
      </c>
      <c r="G10" s="34"/>
      <c r="H10" s="33"/>
      <c r="I10" s="33"/>
      <c r="J10" s="40">
        <f>C32*'E Balans VL '!D20/100/3.6*1000000+C32*'E Balans VL '!E20/100/3.6*1000000</f>
        <v>0</v>
      </c>
      <c r="K10" s="33"/>
      <c r="L10" s="33"/>
      <c r="M10" s="33"/>
      <c r="N10" s="33">
        <f>C32*'E Balans VL '!Y20/100/3.6*1000000</f>
        <v>25.492003746937087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608.87031597093903</v>
      </c>
      <c r="C15" s="33"/>
      <c r="D15" s="37">
        <f>IF( ISERROR(IND_rest_gas_kWh/1000),0,IND_rest_gas_kWh/1000)*0.902</f>
        <v>1026.0473371451469</v>
      </c>
      <c r="E15" s="33">
        <f>C37*'E Balans VL '!I15/100/3.6*1000000</f>
        <v>33.619347603897538</v>
      </c>
      <c r="F15" s="33">
        <f>C37*'E Balans VL '!L15/100/3.6*1000000+C37*'E Balans VL '!N15/100/3.6*1000000</f>
        <v>120.59898579407481</v>
      </c>
      <c r="G15" s="34"/>
      <c r="H15" s="33"/>
      <c r="I15" s="33"/>
      <c r="J15" s="40">
        <f>C37*'E Balans VL '!D15/100/3.6*1000000+C37*'E Balans VL '!E15/100/3.6*1000000</f>
        <v>2.1797441531246755</v>
      </c>
      <c r="K15" s="33"/>
      <c r="L15" s="33"/>
      <c r="M15" s="33"/>
      <c r="N15" s="33">
        <f>C37*'E Balans VL '!Y15/100/3.6*1000000</f>
        <v>42.739404824107943</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2230.6382568903837</v>
      </c>
      <c r="C18" s="21">
        <f>C5+C16</f>
        <v>0</v>
      </c>
      <c r="D18" s="21">
        <f>MAX((D5+D16),0)</f>
        <v>2160.8068367213136</v>
      </c>
      <c r="E18" s="21">
        <f>MAX((E5+E16),0)</f>
        <v>348.54161594420867</v>
      </c>
      <c r="F18" s="21">
        <f>MAX((F5+F16),0)</f>
        <v>1020.2153256165301</v>
      </c>
      <c r="G18" s="21"/>
      <c r="H18" s="21"/>
      <c r="I18" s="21"/>
      <c r="J18" s="21">
        <f>MAX((J5+J16),0)</f>
        <v>2.1797441531246755</v>
      </c>
      <c r="K18" s="21"/>
      <c r="L18" s="21">
        <f>MAX((L5+L16),0)</f>
        <v>0</v>
      </c>
      <c r="M18" s="21"/>
      <c r="N18" s="21">
        <f>MAX((N5+N16),0)</f>
        <v>154.69056425951788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0.20726018986341618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462.32250863970063</v>
      </c>
      <c r="C22" s="23">
        <f ca="1">C18*C20</f>
        <v>0</v>
      </c>
      <c r="D22" s="23">
        <f>D18*D20</f>
        <v>436.48298101770536</v>
      </c>
      <c r="E22" s="23">
        <f>E18*E20</f>
        <v>79.118946819335378</v>
      </c>
      <c r="F22" s="23">
        <f>F18*F20</f>
        <v>272.39749193961353</v>
      </c>
      <c r="G22" s="23"/>
      <c r="H22" s="23"/>
      <c r="I22" s="23"/>
      <c r="J22" s="23">
        <f>J18*J20</f>
        <v>0.77162943020613506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183.493754736863</v>
      </c>
      <c r="C30" s="39">
        <f>IF(ISERROR(B30*3.6/1000000/'E Balans VL '!Z18*100),0,B30*3.6/1000000/'E Balans VL '!Z18*100)</f>
        <v>1.039906158969872E-2</v>
      </c>
      <c r="D30" s="233" t="s">
        <v>732</v>
      </c>
    </row>
    <row r="31" spans="1:18">
      <c r="A31" s="6" t="s">
        <v>32</v>
      </c>
      <c r="B31" s="37">
        <f>IF( ISERROR(IND_ander_ele_kWh/1000),0,IND_ander_ele_kWh/1000)</f>
        <v>1068.8776868606899</v>
      </c>
      <c r="C31" s="39">
        <f>IF(ISERROR(B31*3.6/1000000/'E Balans VL '!Z19*100),0,B31*3.6/1000000/'E Balans VL '!Z19*100)</f>
        <v>4.8479841146776385E-2</v>
      </c>
      <c r="D31" s="233" t="s">
        <v>732</v>
      </c>
    </row>
    <row r="32" spans="1:18">
      <c r="A32" s="168" t="s">
        <v>40</v>
      </c>
      <c r="B32" s="37">
        <f>IF( ISERROR(IND_voed_ele_kWh/1000),0,IND_voed_ele_kWh/1000)</f>
        <v>369.39649932189201</v>
      </c>
      <c r="C32" s="39">
        <f>IF(ISERROR(B32*3.6/1000000/'E Balans VL '!Z20*100),0,B32*3.6/1000000/'E Balans VL '!Z20*100)</f>
        <v>1.1427110642541601E-2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608.87031597093903</v>
      </c>
      <c r="C37" s="39">
        <f>IF(ISERROR(B37*3.6/1000000/'E Balans VL '!Z15*100),0,B37*3.6/1000000/'E Balans VL '!Z15*100)</f>
        <v>4.826045017933646E-3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319.489786108305</v>
      </c>
      <c r="C5" s="17">
        <f>'Eigen informatie GS &amp; warmtenet'!B60</f>
        <v>0</v>
      </c>
      <c r="D5" s="30">
        <f>IF(ISERROR(SUM(LB_lb_gas_kWh,LB_rest_gas_kWh)/1000),0,SUM(LB_lb_gas_kWh,LB_rest_gas_kWh)/1000)*0.902</f>
        <v>298.2363081452757</v>
      </c>
      <c r="E5" s="17">
        <f>B17*'E Balans VL '!I25/3.6*1000000/100</f>
        <v>9.3907806481621297</v>
      </c>
      <c r="F5" s="17">
        <f>B17*('E Balans VL '!L25/3.6*1000000+'E Balans VL '!N25/3.6*1000000)/100</f>
        <v>1330.9771846053211</v>
      </c>
      <c r="G5" s="18"/>
      <c r="H5" s="17"/>
      <c r="I5" s="17"/>
      <c r="J5" s="17">
        <f>('E Balans VL '!D25+'E Balans VL '!E25)/3.6*1000000*landbouw!B17/100</f>
        <v>46.287208885398222</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319.489786108305</v>
      </c>
      <c r="C8" s="21">
        <f>C5+C6</f>
        <v>0</v>
      </c>
      <c r="D8" s="21">
        <f>MAX((D5+D6),0)</f>
        <v>298.2363081452757</v>
      </c>
      <c r="E8" s="21">
        <f>MAX((E5+E6),0)</f>
        <v>9.3907806481621297</v>
      </c>
      <c r="F8" s="21">
        <f>MAX((F5+F6),0)</f>
        <v>1330.9771846053211</v>
      </c>
      <c r="G8" s="21"/>
      <c r="H8" s="21"/>
      <c r="I8" s="21"/>
      <c r="J8" s="21">
        <f>MAX((J5+J6),0)</f>
        <v>46.287208885398222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0.20726018986341618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66.21751372822952</v>
      </c>
      <c r="C12" s="23">
        <f ca="1">C8*C10</f>
        <v>0</v>
      </c>
      <c r="D12" s="23">
        <f>D8*D10</f>
        <v>60.243734245345692</v>
      </c>
      <c r="E12" s="23">
        <f>E8*E10</f>
        <v>2.1317072071328034</v>
      </c>
      <c r="F12" s="23">
        <f>F8*F10</f>
        <v>355.37090828962073</v>
      </c>
      <c r="G12" s="23"/>
      <c r="H12" s="23"/>
      <c r="I12" s="23"/>
      <c r="J12" s="23">
        <f>J8*J10</f>
        <v>16.385671945430971</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4.5336603017403262E-2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38.893173256184795</v>
      </c>
      <c r="C26" s="243">
        <f>B26*'GWP N2O_CH4'!B5</f>
        <v>816.75663837988066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2.3152053589689139</v>
      </c>
      <c r="C27" s="243">
        <f>B27*'GWP N2O_CH4'!B5</f>
        <v>48.619312538347188</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0.65344171195795298</v>
      </c>
      <c r="C28" s="243">
        <f>B28*'GWP N2O_CH4'!B4</f>
        <v>202.56693070696542</v>
      </c>
      <c r="D28" s="50"/>
    </row>
    <row r="29" spans="1:4">
      <c r="A29" s="41" t="s">
        <v>271</v>
      </c>
      <c r="B29" s="243">
        <f>B34*'ha_N2O bodem landbouw'!B4</f>
        <v>9.6955343593518375</v>
      </c>
      <c r="C29" s="243">
        <f>B29*'GWP N2O_CH4'!B4</f>
        <v>3005.6156513990695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2.2124875285062713E-3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5.8202260007215708E-4</v>
      </c>
      <c r="C5" s="431" t="s">
        <v>210</v>
      </c>
      <c r="D5" s="416">
        <f>SUM(D6:D11)</f>
        <v>8.9999318369339445E-4</v>
      </c>
      <c r="E5" s="416">
        <f>SUM(E6:E11)</f>
        <v>1.77183989414418E-3</v>
      </c>
      <c r="F5" s="429" t="s">
        <v>210</v>
      </c>
      <c r="G5" s="416">
        <f>SUM(G6:G11)</f>
        <v>0.66400759732672443</v>
      </c>
      <c r="H5" s="416">
        <f>SUM(H6:H11)</f>
        <v>0.14834351139745749</v>
      </c>
      <c r="I5" s="431" t="s">
        <v>210</v>
      </c>
      <c r="J5" s="431" t="s">
        <v>210</v>
      </c>
      <c r="K5" s="431" t="s">
        <v>210</v>
      </c>
      <c r="L5" s="431" t="s">
        <v>210</v>
      </c>
      <c r="M5" s="416">
        <f>SUM(M6:M11)</f>
        <v>4.3162221996209969E-2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5.443876700801336E-5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9.152114035985737E-5</v>
      </c>
      <c r="E6" s="859">
        <f>vkm_GW_PW*SUMIFS(TableVerdeelsleutelVkm[LPG],TableVerdeelsleutelVkm[Voertuigtype],"Lichte voertuigen")*SUMIFS(TableECFTransport[EnergieConsumptieFactor (PJ per km)],TableECFTransport[Index],CONCATENATE($A6,"_LPG_LPG"))</f>
        <v>1.6103223050643834E-4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4.7777796546741552E-2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1.4786485176620382E-2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3.2267651211058484E-3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2.3980997152655023E-7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7.7027966705548352E-3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1.256756470615261E-7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4.5004008479488067E-4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1.2227856256260855E-4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2.6358825633673362E-4</v>
      </c>
      <c r="E8" s="419">
        <f>vkm_NGW_PW*SUMIFS(TableVerdeelsleutelVkm[LPG],TableVerdeelsleutelVkm[Voertuigtype],"Lichte voertuigen")*SUMIFS(TableECFTransport[EnergieConsumptieFactor (PJ per km)],TableECFTransport[Index],CONCATENATE($A8,"_LPG_LPG"))</f>
        <v>4.4411640193007634E-4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0.12253584694461427</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4.1710667261717307E-2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8.3872118740343019E-3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3.2348157010952058E-7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1.3331524201924669E-2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2.0462084843250005E-7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7.7890117257830779E-4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3.9964652218729224E-4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5.4488378699680347E-4</v>
      </c>
      <c r="E10" s="419">
        <f>vkm_SW_PW*SUMIFS(TableVerdeelsleutelVkm[LPG],TableVerdeelsleutelVkm[Voertuigtype],"Lichte voertuigen")*SUMIFS(TableECFTransport[EnergieConsumptieFactor (PJ per km)],TableECFTransport[Index],CONCATENATE($A10,"_LPG_LPG"))</f>
        <v>1.1666912617076654E-3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0.31676836804409697</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9.1843280151789164E-2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2.1211265769090302E-2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5.0954567726067899E-6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0.15589126491879216</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2.7485108351620807E-6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9.1080379746063325E-3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161.6729444644881</v>
      </c>
      <c r="C14" s="21"/>
      <c r="D14" s="21">
        <f t="shared" ref="D14:M14" si="0">((D5)*10^9/3600)+D12</f>
        <v>249.99810658149846</v>
      </c>
      <c r="E14" s="21">
        <f t="shared" si="0"/>
        <v>492.17774837338334</v>
      </c>
      <c r="F14" s="21"/>
      <c r="G14" s="21">
        <f t="shared" si="0"/>
        <v>184446.55481297901</v>
      </c>
      <c r="H14" s="21">
        <f t="shared" si="0"/>
        <v>41206.530943738187</v>
      </c>
      <c r="I14" s="21"/>
      <c r="J14" s="21"/>
      <c r="K14" s="21"/>
      <c r="L14" s="21"/>
      <c r="M14" s="21">
        <f t="shared" si="0"/>
        <v>11989.506110058326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0.20726018986341618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33.508365165487341</v>
      </c>
      <c r="C18" s="23"/>
      <c r="D18" s="23">
        <f t="shared" ref="D18:M18" si="1">D14*D16</f>
        <v>50.499617529462689</v>
      </c>
      <c r="E18" s="23">
        <f t="shared" si="1"/>
        <v>111.72434888075801</v>
      </c>
      <c r="F18" s="23"/>
      <c r="G18" s="23">
        <f t="shared" si="1"/>
        <v>49247.230135065402</v>
      </c>
      <c r="H18" s="23">
        <f t="shared" si="1"/>
        <v>10260.426204990808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1.4963161112549564E-4</v>
      </c>
      <c r="C50" s="313">
        <f t="shared" ref="C50:P50" si="2">SUM(C51:C52)</f>
        <v>0</v>
      </c>
      <c r="D50" s="313">
        <f t="shared" si="2"/>
        <v>0</v>
      </c>
      <c r="E50" s="313">
        <f t="shared" si="2"/>
        <v>0</v>
      </c>
      <c r="F50" s="313">
        <f t="shared" si="2"/>
        <v>0</v>
      </c>
      <c r="G50" s="313">
        <f t="shared" si="2"/>
        <v>1.4056404637405911E-2</v>
      </c>
      <c r="H50" s="313">
        <f t="shared" si="2"/>
        <v>0</v>
      </c>
      <c r="I50" s="313">
        <f t="shared" si="2"/>
        <v>0</v>
      </c>
      <c r="J50" s="313">
        <f t="shared" si="2"/>
        <v>0</v>
      </c>
      <c r="K50" s="313">
        <f t="shared" si="2"/>
        <v>0</v>
      </c>
      <c r="L50" s="313">
        <f t="shared" si="2"/>
        <v>0</v>
      </c>
      <c r="M50" s="313">
        <f t="shared" si="2"/>
        <v>8.0946613848801511E-4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1.4963161112549564E-4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1.4056404637405911E-2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8.0946613848801511E-4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41.564336423748784</v>
      </c>
      <c r="C54" s="21">
        <f t="shared" ref="C54:P54" si="3">(C50)*10^9/3600</f>
        <v>0</v>
      </c>
      <c r="D54" s="21">
        <f t="shared" si="3"/>
        <v>0</v>
      </c>
      <c r="E54" s="21">
        <f t="shared" si="3"/>
        <v>0</v>
      </c>
      <c r="F54" s="21">
        <f t="shared" si="3"/>
        <v>0</v>
      </c>
      <c r="G54" s="21">
        <f t="shared" si="3"/>
        <v>3904.5568437238644</v>
      </c>
      <c r="H54" s="21">
        <f t="shared" si="3"/>
        <v>0</v>
      </c>
      <c r="I54" s="21">
        <f t="shared" si="3"/>
        <v>0</v>
      </c>
      <c r="J54" s="21">
        <f t="shared" si="3"/>
        <v>0</v>
      </c>
      <c r="K54" s="21">
        <f t="shared" si="3"/>
        <v>0</v>
      </c>
      <c r="L54" s="21">
        <f t="shared" si="3"/>
        <v>0</v>
      </c>
      <c r="M54" s="21">
        <f t="shared" si="3"/>
        <v>224.85170513555977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0.20726018986341618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8.6146322587330779</v>
      </c>
      <c r="C58" s="23">
        <f t="shared" ref="C58:P58" ca="1" si="4">C54*C56</f>
        <v>0</v>
      </c>
      <c r="D58" s="23">
        <f t="shared" si="4"/>
        <v>0</v>
      </c>
      <c r="E58" s="23">
        <f t="shared" si="4"/>
        <v>0</v>
      </c>
      <c r="F58" s="23">
        <f t="shared" si="4"/>
        <v>0</v>
      </c>
      <c r="G58" s="23">
        <f t="shared" si="4"/>
        <v>1042.5166772742718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4329.7738163059375</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2367</v>
      </c>
      <c r="C8" s="538">
        <f>B48</f>
        <v>2784.705882352941</v>
      </c>
      <c r="D8" s="1004"/>
      <c r="E8" s="1004">
        <f>E48</f>
        <v>0</v>
      </c>
      <c r="F8" s="1005"/>
      <c r="G8" s="539"/>
      <c r="H8" s="1004">
        <f>I48</f>
        <v>0</v>
      </c>
      <c r="I8" s="1004">
        <f>G48+F48</f>
        <v>0</v>
      </c>
      <c r="J8" s="1004">
        <f>H48+D48+C48</f>
        <v>0</v>
      </c>
      <c r="K8" s="1004"/>
      <c r="L8" s="1004"/>
      <c r="M8" s="1004"/>
      <c r="N8" s="540"/>
      <c r="O8" s="541">
        <f>C8*$C$12+D8*$D$12+E8*$E$12+F8*$F$12+G8*$G$12+H8*$H$12+I8*$I$12+J8*$J$12</f>
        <v>562.51058823529411</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6696.7738163059375</v>
      </c>
      <c r="C10" s="551">
        <f t="shared" ref="C10:L10" si="0">SUM(C8:C9)</f>
        <v>2784.705882352941</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562.51058823529411</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3381.4285714285716</v>
      </c>
      <c r="C17" s="563">
        <f>B49</f>
        <v>3978.1512605042021</v>
      </c>
      <c r="D17" s="564"/>
      <c r="E17" s="564">
        <f>E49</f>
        <v>0</v>
      </c>
      <c r="F17" s="1010"/>
      <c r="G17" s="565"/>
      <c r="H17" s="563">
        <f>I49</f>
        <v>0</v>
      </c>
      <c r="I17" s="564">
        <f>G49+F49</f>
        <v>0</v>
      </c>
      <c r="J17" s="564">
        <f>H49+D49+C49</f>
        <v>0</v>
      </c>
      <c r="K17" s="564"/>
      <c r="L17" s="564"/>
      <c r="M17" s="564"/>
      <c r="N17" s="1011"/>
      <c r="O17" s="566">
        <f>C17*$C$22+E17*$E$22+H17*$H$22+I17*$I$22+J17*$J$22+D17*$D$22+F17*$F$22+G17*$G$22+K17*$K$22+L17*$L$22</f>
        <v>803.5865546218489</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3381.4285714285716</v>
      </c>
      <c r="C20" s="550">
        <f>SUM(C17:C19)</f>
        <v>3978.1512605042021</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803.5865546218489</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24055</v>
      </c>
      <c r="C28" s="764">
        <v>3071</v>
      </c>
      <c r="D28" s="621" t="s">
        <v>902</v>
      </c>
      <c r="E28" s="620" t="s">
        <v>903</v>
      </c>
      <c r="F28" s="620" t="s">
        <v>904</v>
      </c>
      <c r="G28" s="620" t="s">
        <v>905</v>
      </c>
      <c r="H28" s="620" t="s">
        <v>906</v>
      </c>
      <c r="I28" s="620" t="s">
        <v>907</v>
      </c>
      <c r="J28" s="763">
        <v>40227</v>
      </c>
      <c r="K28" s="763">
        <v>40238</v>
      </c>
      <c r="L28" s="620" t="s">
        <v>908</v>
      </c>
      <c r="M28" s="620">
        <v>526</v>
      </c>
      <c r="N28" s="620">
        <v>2367</v>
      </c>
      <c r="O28" s="620">
        <v>3381.4285714285716</v>
      </c>
      <c r="P28" s="620">
        <v>6762.8571428571431</v>
      </c>
      <c r="Q28" s="620">
        <v>0</v>
      </c>
      <c r="R28" s="620">
        <v>0</v>
      </c>
      <c r="S28" s="620">
        <v>0</v>
      </c>
      <c r="T28" s="620">
        <v>0</v>
      </c>
      <c r="U28" s="620">
        <v>0</v>
      </c>
      <c r="V28" s="620">
        <v>0</v>
      </c>
      <c r="W28" s="620">
        <v>0</v>
      </c>
      <c r="X28" s="620">
        <v>1100</v>
      </c>
      <c r="Y28" s="620" t="s">
        <v>51</v>
      </c>
      <c r="Z28" s="622" t="s">
        <v>155</v>
      </c>
    </row>
    <row r="29" spans="1:26" s="558" customFormat="1">
      <c r="A29" s="576" t="s">
        <v>274</v>
      </c>
      <c r="B29" s="577"/>
      <c r="C29" s="577"/>
      <c r="D29" s="577"/>
      <c r="E29" s="577"/>
      <c r="F29" s="577"/>
      <c r="G29" s="577"/>
      <c r="H29" s="577"/>
      <c r="I29" s="577"/>
      <c r="J29" s="577"/>
      <c r="K29" s="577"/>
      <c r="L29" s="578"/>
      <c r="M29" s="578">
        <f>SUM(M28:M28)</f>
        <v>526</v>
      </c>
      <c r="N29" s="578">
        <f>SUM(N28:N28)</f>
        <v>2367</v>
      </c>
      <c r="O29" s="578">
        <f>SUM(O28:O28)</f>
        <v>3381.4285714285716</v>
      </c>
      <c r="P29" s="578">
        <f>SUM(P28:P28)</f>
        <v>6762.8571428571431</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526</v>
      </c>
      <c r="N31" s="578">
        <f ca="1">SUMIF($Z$28:AD28,"tertiair",N28:N28)</f>
        <v>2367</v>
      </c>
      <c r="O31" s="578">
        <f ca="1">SUMIF($Z$28:AE28,"tertiair",O28:O28)</f>
        <v>3381.4285714285716</v>
      </c>
      <c r="P31" s="578">
        <f ca="1">SUMIF($Z$28:AF28,"tertiair",P28:P28)</f>
        <v>6762.8571428571431</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2784.705882352941</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3978.1512605042021</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2021-06-29T15:39:42Z</dcterms:modified>
</cp:coreProperties>
</file>