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D13" i="15" l="1"/>
  <c r="B8" i="18"/>
  <c r="B45" i="18"/>
  <c r="I49" i="18" s="1"/>
  <c r="H17" i="18" s="1"/>
  <c r="C6" i="17"/>
  <c r="F13" i="15"/>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<sst xmlns="http://schemas.openxmlformats.org/spreadsheetml/2006/main" count="2476" uniqueCount="902">
  <si>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</si>
  <si>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</si>
  <si>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</si>
  <si>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</si>
  <si>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</si>
  <si>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</si>
  <si>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</si>
  <si>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</si>
  <si>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</si>
  <si>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</si>
  <si>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</si>
  <si>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</si>
  <si>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</si>
  <si>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</si>
  <si>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</si>
  <si>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</si>
  <si>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</si>
  <si>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</si>
  <si>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</si>
  <si>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</si>
  <si>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</si>
  <si>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</si>
  <si>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</si>
  <si>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</si>
  <si>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</si>
  <si>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</si>
  <si>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</si>
  <si>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</si>
  <si>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</si>
  <si>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</si>
  <si>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</si>
  <si>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</si>
  <si>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</si>
  <si>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</si>
  <si>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</si>
  <si>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</si>
  <si>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</si>
  <si>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</si>
  <si>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</si>
  <si>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</si>
  <si>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</si>
  <si>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</si>
  <si>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</si>
  <si>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</si>
  <si>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</si>
  <si>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</si>
  <si>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</si>
  <si>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</si>
  <si>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</si>
  <si>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</si>
  <si>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</si>
  <si>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</si>
  <si>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</si>
  <si>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</si>
  <si>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</si>
  <si>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</si>
  <si>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</si>
  <si>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</si>
  <si>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</si>
  <si>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</si>
  <si>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</si>
  <si>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</si>
  <si>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</si>
  <si>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</si>
  <si>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</si>
  <si>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</si>
  <si>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</si>
  <si>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</si>
  <si>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</si>
  <si>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</si>
  <si>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</si>
  <si>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</si>
  <si>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</si>
  <si>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</si>
  <si>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</si>
  <si>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</si>
  <si>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</si>
  <si>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</si>
  <si>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</si>
  <si>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</si>
  <si>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</si>
  <si>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</si>
  <si>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</si>
  <si>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</si>
  <si>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</si>
  <si>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</si>
  <si>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</si>
  <si>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</si>
  <si>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</si>
  <si>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</si>
  <si>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</si>
  <si>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</si>
  <si>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</si>
  <si>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</si>
  <si>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</si>
  <si>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</si>
  <si>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</si>
  <si>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</si>
  <si>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</si>
  <si>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</si>
  <si>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</si>
  <si>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</si>
  <si>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</si>
  <si>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</si>
  <si>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</si>
  <si>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</si>
  <si>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</si>
  <si>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</si>
  <si>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</si>
  <si>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</si>
  <si>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</si>
  <si>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</si>
  <si>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</si>
  <si>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</si>
  <si>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</si>
  <si>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</si>
  <si>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</si>
  <si>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</si>
  <si>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</si>
  <si>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</si>
  <si>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</si>
  <si>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</si>
  <si>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</si>
  <si>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</si>
  <si>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</si>
  <si>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</si>
  <si>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</si>
  <si>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</si>
  <si>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</si>
  <si>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</si>
  <si>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</si>
  <si>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</si>
  <si>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</si>
  <si>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</si>
  <si>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</si>
  <si>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</si>
  <si>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</si>
  <si>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</si>
  <si>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</si>
  <si>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</si>
  <si>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</si>
  <si>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</si>
  <si>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</si>
  <si>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</si>
  <si>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</si>
  <si>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</si>
  <si>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</si>
  <si>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</si>
  <si>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</si>
  <si>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</si>
  <si>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</si>
  <si>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</si>
  <si>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</si>
  <si>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</si>
  <si>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</si>
  <si>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</si>
  <si>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</si>
  <si>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</si>
  <si>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</si>
  <si>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</si>
  <si>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</si>
  <si>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</si>
  <si>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</si>
  <si>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</si>
  <si>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</si>
  <si>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</si>
  <si>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</si>
  <si>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</si>
  <si>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</si>
  <si>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</si>
  <si>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</si>
  <si>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</si>
  <si>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</si>
  <si>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</si>
  <si>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</si>
  <si>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</si>
  <si>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</si>
  <si>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</si>
  <si>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</si>
  <si>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</si>
  <si>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</si>
  <si>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</si>
  <si>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</si>
  <si>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</si>
  <si>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</si>
  <si>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</si>
  <si>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</si>
  <si>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</si>
  <si>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</si>
  <si>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</si>
  <si>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</si>
  <si>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</si>
  <si>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</si>
  <si>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</si>
  <si>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</si>
  <si>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</si>
  <si>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</si>
  <si>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</si>
  <si>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</si>
  <si>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</si>
  <si>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</si>
  <si>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</si>
  <si>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</si>
  <si>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</si>
  <si>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</si>
  <si>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</si>
  <si>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</si>
  <si>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</si>
  <si>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</si>
  <si>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</si>
  <si>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</si>
  <si>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</si>
  <si>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</si>
  <si>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</si>
  <si>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</si>
  <si>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</si>
  <si>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</si>
  <si>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</si>
  <si>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</si>
  <si>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</si>
  <si>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</si>
  <si>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</si>
  <si>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</si>
  <si>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</si>
  <si>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</si>
  <si>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</si>
  <si>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</si>
  <si>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</si>
  <si>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</si>
  <si>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</si>
  <si>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</si>
  <si>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</si>
  <si>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</si>
  <si>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</si>
  <si>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</si>
  <si>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</si>
  <si>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</si>
  <si>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</si>
  <si>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</si>
  <si>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</si>
  <si>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</si>
  <si>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</si>
  <si>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</si>
  <si>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</si>
  <si>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</si>
  <si>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</si>
  <si>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</si>
  <si>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</si>
  <si>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</si>
  <si>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</si>
  <si>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</si>
  <si>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</si>
  <si>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</si>
  <si>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</si>
  <si>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</si>
  <si>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</si>
  <si>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</si>
  <si>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</si>
  <si>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</si>
  <si>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</si>
  <si>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</si>
  <si>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</si>
  <si>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</si>
  <si>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</si>
  <si>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</si>
  <si>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</si>
  <si>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</si>
  <si>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</si>
  <si>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</si>
  <si>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</si>
  <si>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</si>
  <si>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</si>
  <si>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</si>
  <si>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</si>
  <si>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</si>
  <si>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</si>
  <si>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</si>
  <si>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</si>
  <si>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</si>
  <si>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</si>
  <si>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</si>
  <si>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</si>
  <si>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</si>
  <si>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</si>
  <si>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</si>
  <si>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</si>
  <si>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</si>
  <si>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</si>
  <si>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</si>
  <si>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</si>
  <si>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</si>
  <si>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</si>
  <si>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</si>
  <si>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</si>
  <si>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</si>
  <si>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</si>
  <si>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</si>
  <si>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</si>
  <si>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</si>
  <si>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</si>
  <si>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</si>
  <si>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</si>
  <si>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</si>
  <si>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</si>
  <si>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</si>
  <si>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</si>
  <si>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</si>
  <si>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</si>
  <si>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</si>
  <si>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</si>
  <si>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</si>
  <si>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</si>
  <si>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</si>
  <si>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</si>
  <si>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</si>
  <si>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</si>
  <si>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</si>
  <si>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</si>
  <si>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</si>
  <si>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</si>
  <si>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</si>
  <si>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</si>
  <si>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</si>
  <si>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</si>
  <si>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</si>
  <si>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</si>
  <si>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</si>
  <si>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</si>
  <si>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</si>
  <si>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</si>
  <si>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</si>
  <si>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</si>
  <si>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</si>
  <si>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</si>
  <si>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</si>
  <si>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</si>
  <si>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</si>
  <si>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</si>
  <si>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</si>
  <si>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</si>
  <si>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</si>
  <si>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</si>
  <si>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</si>
  <si>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</si>
  <si>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</si>
  <si>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</si>
  <si>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</si>
  <si>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</si>
  <si>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</si>
  <si>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</si>
  <si>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</si>
  <si>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</si>
  <si>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</si>
  <si>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</si>
  <si>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</si>
  <si>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</si>
  <si>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</si>
  <si>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</si>
  <si>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</si>
  <si>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</si>
  <si>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</si>
  <si>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</si>
  <si>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</si>
  <si>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</si>
  <si>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</si>
  <si>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</si>
  <si>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</si>
  <si>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</si>
  <si>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</si>
  <si>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</si>
  <si>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</si>
  <si>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</si>
  <si>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</si>
  <si>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</si>
  <si>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</si>
  <si>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</si>
  <si>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</si>
  <si>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</si>
  <si>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</si>
  <si>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</si>
  <si>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</si>
  <si>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</si>
  <si>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</si>
  <si>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</si>
  <si>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</si>
  <si>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</si>
  <si>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</si>
  <si>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</si>
  <si>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</si>
  <si>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</si>
  <si>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</si>
  <si>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</si>
  <si>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</si>
  <si>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</si>
  <si>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</si>
  <si>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</si>
  <si>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</si>
  <si>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</si>
  <si>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</si>
  <si>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</si>
  <si>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</si>
  <si>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</si>
  <si>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</si>
  <si>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</si>
  <si>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</si>
  <si>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</si>
  <si>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</si>
  <si>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</si>
  <si>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</si>
  <si>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</si>
  <si>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</si>
  <si>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</si>
  <si>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</si>
  <si>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</si>
  <si>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</si>
  <si>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</si>
  <si>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</si>
  <si>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</si>
  <si>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</si>
  <si>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</si>
  <si>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</si>
  <si>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</si>
  <si>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</si>
  <si>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</si>
  <si>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</si>
  <si>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</si>
  <si>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</si>
  <si>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</si>
  <si>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</si>
  <si>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</si>
  <si>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</si>
  <si>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</si>
  <si>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</si>
  <si>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</si>
  <si>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</si>
  <si>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</si>
  <si>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</si>
  <si>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</si>
  <si>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</si>
  <si>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</si>
  <si>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</si>
  <si>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</si>
  <si>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</si>
  <si>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</si>
  <si>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</si>
  <si>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</si>
  <si>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</si>
  <si>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</si>
  <si>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</si>
  <si>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</si>
  <si>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</si>
  <si>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</si>
  <si>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</si>
  <si>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</si>
  <si>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</si>
  <si>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</si>
  <si>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</si>
  <si>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</si>
  <si>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</si>
  <si>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</si>
  <si>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</si>
  <si>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</si>
  <si>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</si>
  <si>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</si>
  <si>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</si>
  <si>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</si>
  <si>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</si>
  <si>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</si>
  <si>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</si>
  <si>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</si>
  <si>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</si>
  <si>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</si>
  <si>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</si>
  <si>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</si>
  <si>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</si>
  <si>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</si>
  <si>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</si>
  <si>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</si>
  <si>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</si>
  <si>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</si>
  <si>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</si>
  <si>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</si>
  <si>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</si>
  <si>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</si>
  <si>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</si>
  <si>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</si>
  <si>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</si>
  <si>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</si>
  <si>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</si>
  <si>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</si>
  <si>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</si>
  <si>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</si>
  <si>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</si>
  <si>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</si>
  <si>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</si>
  <si>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</si>
  <si>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</si>
  <si>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</si>
  <si>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</si>
  <si>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</si>
  <si>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</si>
  <si>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</si>
  <si>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</si>
  <si>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</si>
  <si>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</si>
  <si>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</si>
  <si>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</si>
  <si>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</si>
  <si>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</si>
  <si>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</si>
  <si>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</si>
  <si>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</si>
  <si>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</si>
  <si>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</si>
  <si>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</si>
  <si>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</si>
  <si>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</si>
  <si>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</si>
  <si>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</si>
  <si>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</si>
  <si>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</si>
  <si>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</si>
  <si>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</si>
  <si>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</si>
  <si>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</si>
  <si>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</si>
  <si>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</si>
  <si>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</si>
  <si>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</si>
  <si>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</si>
  <si>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</si>
  <si>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</si>
  <si>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</si>
  <si>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</si>
  <si>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</si>
  <si>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</si>
  <si>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</si>
  <si>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</si>
  <si>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</si>
  <si>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</si>
  <si>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</si>
  <si>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</si>
  <si>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</si>
  <si>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</si>
  <si>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</si>
  <si>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</si>
  <si>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</si>
  <si>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</si>
  <si>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</si>
  <si>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</si>
  <si>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</si>
  <si>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</si>
  <si>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</si>
  <si>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</si>
  <si>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</si>
  <si>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</si>
  <si>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</si>
  <si>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</si>
  <si>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</si>
  <si>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</si>
  <si>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</si>
  <si>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</si>
  <si>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</si>
  <si>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</si>
  <si>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</si>
  <si>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</si>
  <si>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</si>
  <si>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</si>
  <si>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</si>
  <si>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</si>
  <si>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</si>
  <si>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</si>
  <si>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</si>
  <si>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</si>
  <si>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</si>
  <si>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</si>
  <si>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</si>
  <si>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</si>
  <si>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</si>
  <si>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</si>
  <si>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</si>
  <si>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</si>
  <si>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</si>
  <si>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</si>
  <si>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</si>
  <si>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</si>
  <si>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</si>
  <si>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</si>
  <si>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</si>
  <si>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</si>
  <si>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</si>
  <si>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</si>
  <si>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</si>
  <si>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</si>
  <si>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</si>
  <si>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</si>
  <si>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</si>
  <si>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</si>
  <si>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</si>
  <si>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</si>
  <si>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</si>
  <si>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</si>
  <si>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</si>
  <si>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</si>
  <si>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</si>
  <si>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</si>
  <si>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</si>
  <si>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</si>
  <si>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</si>
  <si>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</si>
  <si>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</si>
  <si>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</si>
  <si>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</si>
  <si>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</si>
  <si>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</si>
  <si>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</si>
  <si>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</si>
  <si>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</si>
  <si>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</si>
  <si>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</si>
  <si>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</si>
  <si>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</si>
  <si>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</si>
  <si>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</si>
  <si>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</si>
  <si>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</si>
  <si>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</si>
  <si>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</si>
  <si>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</si>
  <si>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</si>
  <si>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</si>
  <si>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</si>
  <si>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</si>
  <si>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</si>
  <si>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</si>
  <si>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</si>
  <si>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</si>
  <si>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</si>
  <si>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</si>
  <si>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</si>
  <si>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</si>
  <si>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</si>
  <si>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</si>
  <si>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</si>
  <si>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</si>
  <si>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</si>
  <si>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</si>
  <si>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</si>
  <si>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</si>
  <si>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</si>
  <si>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</si>
  <si>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</si>
  <si>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</si>
  <si>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</si>
  <si>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</si>
  <si>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</si>
  <si>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</si>
  <si>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</si>
  <si>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</si>
  <si>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</si>
  <si>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</si>
  <si>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</si>
  <si>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</si>
  <si>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</si>
  <si>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</si>
  <si>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</si>
  <si>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</si>
  <si>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</si>
  <si>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</si>
  <si>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</si>
  <si>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</si>
  <si>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</si>
  <si>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</si>
  <si>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</si>
  <si>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</si>
  <si>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</si>
  <si>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</si>
  <si>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</si>
  <si>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</si>
  <si>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</si>
  <si>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</si>
  <si>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</si>
  <si>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</si>
  <si>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</si>
  <si>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</si>
  <si>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</si>
  <si>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</si>
  <si>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</si>
  <si>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</si>
  <si>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</si>
  <si>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</si>
  <si>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</si>
  <si>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</si>
  <si>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</si>
  <si>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</si>
  <si>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</si>
  <si>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</si>
  <si>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</si>
  <si>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</si>
  <si>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</si>
  <si>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</si>
  <si>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</si>
  <si>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</si>
  <si>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</si>
  <si>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</si>
  <si>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</si>
  <si>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</si>
  <si>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</si>
  <si>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</si>
  <si>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</si>
  <si>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</si>
  <si>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</si>
  <si>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</si>
  <si>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</si>
  <si>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</si>
  <si>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</si>
  <si>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</si>
  <si>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</si>
  <si>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</si>
  <si>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</si>
  <si>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</si>
  <si>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</si>
  <si>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</si>
  <si>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</si>
  <si>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</si>
  <si>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</si>
  <si>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</si>
  <si>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</si>
  <si>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</si>
  <si>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</si>
  <si>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</si>
  <si>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</si>
  <si>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</si>
  <si>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</si>
  <si>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</si>
  <si>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</si>
  <si>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</si>
  <si>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</si>
  <si>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</si>
  <si>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</si>
  <si>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</si>
  <si>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</si>
  <si>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</si>
  <si>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</si>
  <si>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</si>
  <si>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</si>
  <si>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</si>
  <si>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</si>
  <si>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</si>
  <si>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</si>
  <si>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</si>
  <si>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</si>
  <si>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</si>
  <si>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</si>
  <si>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</si>
  <si>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</si>
  <si>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</si>
  <si>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</si>
  <si>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</si>
  <si>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</si>
  <si>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</si>
  <si>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</si>
  <si>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</si>
  <si>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</si>
  <si>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</si>
  <si>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</si>
  <si>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</si>
  <si>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</si>
  <si>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</si>
  <si>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</si>
  <si>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</si>
  <si>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</si>
  <si>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</si>
  <si>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</si>
  <si>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</si>
  <si>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</si>
  <si>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</si>
  <si>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</si>
  <si>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</si>
  <si>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</si>
  <si>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</si>
  <si>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</si>
  <si>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</si>
  <si>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</si>
  <si>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</si>
  <si>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</si>
  <si>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</si>
  <si>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</si>
  <si>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</si>
  <si>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</si>
  <si>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</si>
  <si>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</si>
  <si>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</si>
  <si>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</si>
  <si>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</si>
  <si>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</si>
  <si>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</si>
  <si>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</si>
  <si>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</si>
  <si>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</si>
  <si>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</si>
  <si>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</si>
  <si>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</si>
  <si>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</si>
  <si>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</si>
  <si>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</si>
  <si>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</si>
  <si>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</si>
  <si>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</si>
  <si>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</si>
  <si>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</si>
  <si>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</si>
  <si>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</si>
  <si>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</si>
  <si>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</si>
  <si>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</si>
  <si>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</si>
  <si>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</si>
  <si>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</si>
  <si>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</si>
  <si>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</si>
  <si>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</si>
  <si>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</si>
  <si>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</si>
  <si>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</si>
  <si>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</si>
  <si>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</si>
  <si>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</si>
  <si>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</si>
  <si>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</si>
  <si>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</si>
  <si>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</si>
  <si>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</si>
  <si>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</si>
  <si>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</si>
  <si>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</si>
  <si>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</si>
  <si>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</si>
  <si>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</si>
  <si>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</si>
  <si>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</si>
  <si>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</si>
  <si>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</si>
  <si>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</si>
  <si>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</si>
  <si>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</si>
  <si>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</si>
  <si>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</si>
  <si>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</si>
  <si>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</si>
  <si>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</si>
  <si>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</si>
  <si>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</si>
  <si>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</si>
  <si>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</si>
  <si>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</si>
  <si>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</si>
  <si>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</si>
  <si>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</si>
  <si>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</si>
  <si>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</si>
  <si>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</si>
  <si>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</si>
  <si>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</si>
  <si>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</si>
  <si>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</si>
  <si>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</si>
  <si>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</si>
  <si>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</si>
  <si>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</si>
  <si>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</si>
  <si>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</si>
  <si>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</si>
  <si>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</si>
  <si>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</si>
  <si>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</si>
  <si>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</si>
  <si>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</si>
  <si>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</si>
  <si>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</si>
  <si>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</si>
  <si>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</si>
  <si>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</si>
  <si>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</si>
  <si>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</si>
  <si>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</si>
  <si>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</si>
  <si>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</si>
  <si>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</si>
  <si>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</si>
  <si>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</si>
  <si>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</si>
  <si>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</si>
  <si>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</si>
  <si>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</si>
  <si>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</si>
  <si>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</si>
  <si>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</si>
  <si>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24014</t>
  </si>
  <si>
    <t>BOORTMEERBEEK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</si>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</sst>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109073.12744069227</c:v>
                </c:pt>
                <c:pt idx="1">
                  <c:v>36281.917700672544</c:v>
                </c:pt>
                <c:pt idx="2">
                  <c:v>942.279</c:v>
                </c:pt>
                <c:pt idx="3">
                  <c:v>648.2394701117272</c:v>
                </c:pt>
                <c:pt idx="4">
                  <c:v>42838.877658492922</c:v>
                </c:pt>
                <c:pt idx="5">
                  <c:v>57913.365707179953</c:v>
                </c:pt>
                <c:pt idx="6">
                  <c:v>1834.8268730296995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109073.12744069227</c:v>
                </c:pt>
                <c:pt idx="1">
                  <c:v>36281.917700672544</c:v>
                </c:pt>
                <c:pt idx="2">
                  <c:v>942.279</c:v>
                </c:pt>
                <c:pt idx="3">
                  <c:v>648.2394701117272</c:v>
                </c:pt>
                <c:pt idx="4">
                  <c:v>42838.877658492922</c:v>
                </c:pt>
                <c:pt idx="5">
                  <c:v>57913.365707179953</c:v>
                </c:pt>
                <c:pt idx="6">
                  <c:v>1834.8268730296995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23010.982565079797</c:v>
                </c:pt>
                <c:pt idx="2">
                  <c:v>7431.3813159122728</c:v>
                </c:pt>
                <c:pt idx="3">
                  <c:v>196.50764281125586</c:v>
                </c:pt>
                <c:pt idx="4">
                  <c:v>165.05732012936645</c:v>
                </c:pt>
                <c:pt idx="5">
                  <c:v>8677.3402546292273</c:v>
                </c:pt>
                <c:pt idx="6">
                  <c:v>14500.225207517411</c:v>
                </c:pt>
                <c:pt idx="7">
                  <c:v>462.42016344052911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23010.982565079797</c:v>
                </c:pt>
                <c:pt idx="2">
                  <c:v>7431.3813159122728</c:v>
                </c:pt>
                <c:pt idx="3">
                  <c:v>196.50764281125586</c:v>
                </c:pt>
                <c:pt idx="4">
                  <c:v>165.05732012936645</c:v>
                </c:pt>
                <c:pt idx="5">
                  <c:v>8677.3402546292273</c:v>
                </c:pt>
                <c:pt idx="6">
                  <c:v>14500.225207517411</c:v>
                </c:pt>
                <c:pt idx="7">
                  <c:v>462.42016344052911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24014</v>
      </c>
      <c r="B6" s="384"/>
      <c r="C6" s="385"/>
    </row>
    <row r="7" spans="1:7" s="382" customFormat="1" ht="15.75" customHeight="1">
      <c r="A7" s="386" t="str">
        <f>txtMunicipality</f>
        <v>BOORTMEERBEEK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20353.885465581308</v>
      </c>
      <c r="D10" s="973">
        <f ca="1">tertiair!C16</f>
        <v>0</v>
      </c>
      <c r="E10" s="973">
        <f ca="1">tertiair!D16</f>
        <v>11997.490697574158</v>
      </c>
      <c r="F10" s="973">
        <f>tertiair!E16</f>
        <v>297.47147639416494</v>
      </c>
      <c r="G10" s="973">
        <f ca="1">tertiair!F16</f>
        <v>3341.4111033063327</v>
      </c>
      <c r="H10" s="973">
        <f>tertiair!G16</f>
        <v>0</v>
      </c>
      <c r="I10" s="973">
        <f>tertiair!H16</f>
        <v>0</v>
      </c>
      <c r="J10" s="973">
        <f>tertiair!I16</f>
        <v>0</v>
      </c>
      <c r="K10" s="973">
        <f>tertiair!J16</f>
        <v>2.9713238447555457E-2</v>
      </c>
      <c r="L10" s="973">
        <f>tertiair!K16</f>
        <v>0</v>
      </c>
      <c r="M10" s="973">
        <f ca="1">tertiair!L16</f>
        <v>0</v>
      </c>
      <c r="N10" s="973">
        <f>tertiair!M16</f>
        <v>0</v>
      </c>
      <c r="O10" s="973">
        <f ca="1">tertiair!N16</f>
        <v>1194.2115779114656</v>
      </c>
      <c r="P10" s="973">
        <f>tertiair!O16</f>
        <v>1.5633333333333335</v>
      </c>
      <c r="Q10" s="974">
        <f>tertiair!P16</f>
        <v>38.133333333333333</v>
      </c>
      <c r="R10" s="668">
        <f ca="1">SUM(C10:Q10)</f>
        <v>37224.196700672539</v>
      </c>
      <c r="S10" s="67"/>
    </row>
    <row r="11" spans="1:19" s="441" customFormat="1">
      <c r="A11" s="777" t="s">
        <v>219</v>
      </c>
      <c r="B11" s="782"/>
      <c r="C11" s="973">
        <f>huishoudens!B8</f>
        <v>22704.996918751222</v>
      </c>
      <c r="D11" s="973">
        <f>huishoudens!C8</f>
        <v>0</v>
      </c>
      <c r="E11" s="973">
        <f>huishoudens!D8</f>
        <v>37772.790986548993</v>
      </c>
      <c r="F11" s="973">
        <f>huishoudens!E8</f>
        <v>1513.3272446917733</v>
      </c>
      <c r="G11" s="973">
        <f>huishoudens!F8</f>
        <v>38340.928862319452</v>
      </c>
      <c r="H11" s="973">
        <f>huishoudens!G8</f>
        <v>0</v>
      </c>
      <c r="I11" s="973">
        <f>huishoudens!H8</f>
        <v>0</v>
      </c>
      <c r="J11" s="973">
        <f>huishoudens!I8</f>
        <v>0</v>
      </c>
      <c r="K11" s="973">
        <f>huishoudens!J8</f>
        <v>184.49224817056421</v>
      </c>
      <c r="L11" s="973">
        <f>huishoudens!K8</f>
        <v>0</v>
      </c>
      <c r="M11" s="973">
        <f>huishoudens!L8</f>
        <v>0</v>
      </c>
      <c r="N11" s="973">
        <f>huishoudens!M8</f>
        <v>0</v>
      </c>
      <c r="O11" s="973">
        <f>huishoudens!N8</f>
        <v>7408.4545135436128</v>
      </c>
      <c r="P11" s="973">
        <f>huishoudens!O8</f>
        <v>232.9366666666667</v>
      </c>
      <c r="Q11" s="974">
        <f>huishoudens!P8</f>
        <v>915.2</v>
      </c>
      <c r="R11" s="668">
        <f>SUM(C11:Q11)</f>
        <v>109073.12744069227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14362.879178300172</v>
      </c>
      <c r="D13" s="973">
        <f>industrie!C18</f>
        <v>0</v>
      </c>
      <c r="E13" s="973">
        <f>industrie!D18</f>
        <v>25213.067515323957</v>
      </c>
      <c r="F13" s="973">
        <f>industrie!E18</f>
        <v>400.03631017326586</v>
      </c>
      <c r="G13" s="973">
        <f>industrie!F18</f>
        <v>1853.8940604126617</v>
      </c>
      <c r="H13" s="973">
        <f>industrie!G18</f>
        <v>0</v>
      </c>
      <c r="I13" s="973">
        <f>industrie!H18</f>
        <v>0</v>
      </c>
      <c r="J13" s="973">
        <f>industrie!I18</f>
        <v>0</v>
      </c>
      <c r="K13" s="973">
        <f>industrie!J18</f>
        <v>9.025349504126563</v>
      </c>
      <c r="L13" s="973">
        <f>industrie!K18</f>
        <v>0</v>
      </c>
      <c r="M13" s="973">
        <f>industrie!L18</f>
        <v>0</v>
      </c>
      <c r="N13" s="973">
        <f>industrie!M18</f>
        <v>0</v>
      </c>
      <c r="O13" s="973">
        <f>industrie!N18</f>
        <v>999.97524477873947</v>
      </c>
      <c r="P13" s="973">
        <f>industrie!O18</f>
        <v>0</v>
      </c>
      <c r="Q13" s="974">
        <f>industrie!P18</f>
        <v>0</v>
      </c>
      <c r="R13" s="668">
        <f>SUM(C13:Q13)</f>
        <v>42838.877658492922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57421.761562632702</v>
      </c>
      <c r="D16" s="700">
        <f t="shared" ref="D16:R16" ca="1" si="0">SUM(D9:D15)</f>
        <v>0</v>
      </c>
      <c r="E16" s="700">
        <f t="shared" ca="1" si="0"/>
        <v>74983.349199447111</v>
      </c>
      <c r="F16" s="700">
        <f t="shared" si="0"/>
        <v>2210.8350312592042</v>
      </c>
      <c r="G16" s="700">
        <f t="shared" ca="1" si="0"/>
        <v>43536.234026038444</v>
      </c>
      <c r="H16" s="700">
        <f t="shared" si="0"/>
        <v>0</v>
      </c>
      <c r="I16" s="700">
        <f t="shared" si="0"/>
        <v>0</v>
      </c>
      <c r="J16" s="700">
        <f t="shared" si="0"/>
        <v>0</v>
      </c>
      <c r="K16" s="700">
        <f t="shared" si="0"/>
        <v>193.54731091313832</v>
      </c>
      <c r="L16" s="700">
        <f t="shared" si="0"/>
        <v>0</v>
      </c>
      <c r="M16" s="700">
        <f t="shared" ca="1" si="0"/>
        <v>0</v>
      </c>
      <c r="N16" s="700">
        <f t="shared" si="0"/>
        <v>0</v>
      </c>
      <c r="O16" s="700">
        <f t="shared" ca="1" si="0"/>
        <v>9602.6413362338171</v>
      </c>
      <c r="P16" s="700">
        <f t="shared" si="0"/>
        <v>234.50000000000003</v>
      </c>
      <c r="Q16" s="700">
        <f t="shared" si="0"/>
        <v>953.33333333333337</v>
      </c>
      <c r="R16" s="700">
        <f t="shared" ca="1" si="0"/>
        <v>189136.20179985772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18.284310046471045</v>
      </c>
      <c r="D19" s="973">
        <f>transport!C54</f>
        <v>0</v>
      </c>
      <c r="E19" s="973">
        <f>transport!D54</f>
        <v>0</v>
      </c>
      <c r="F19" s="973">
        <f>transport!E54</f>
        <v>0</v>
      </c>
      <c r="G19" s="973">
        <f>transport!F54</f>
        <v>0</v>
      </c>
      <c r="H19" s="973">
        <f>transport!G54</f>
        <v>1717.6294407030616</v>
      </c>
      <c r="I19" s="973">
        <f>transport!H54</f>
        <v>0</v>
      </c>
      <c r="J19" s="973">
        <f>transport!I54</f>
        <v>0</v>
      </c>
      <c r="K19" s="973">
        <f>transport!J54</f>
        <v>0</v>
      </c>
      <c r="L19" s="973">
        <f>transport!K54</f>
        <v>0</v>
      </c>
      <c r="M19" s="973">
        <f>transport!L54</f>
        <v>0</v>
      </c>
      <c r="N19" s="973">
        <f>transport!M54</f>
        <v>98.913122280166931</v>
      </c>
      <c r="O19" s="973">
        <f>transport!N54</f>
        <v>0</v>
      </c>
      <c r="P19" s="973">
        <f>transport!O54</f>
        <v>0</v>
      </c>
      <c r="Q19" s="974">
        <f>transport!P54</f>
        <v>0</v>
      </c>
      <c r="R19" s="668">
        <f>SUM(C19:Q19)</f>
        <v>1834.8268730296995</v>
      </c>
      <c r="S19" s="67"/>
    </row>
    <row r="20" spans="1:19" s="441" customFormat="1">
      <c r="A20" s="777" t="s">
        <v>301</v>
      </c>
      <c r="B20" s="782"/>
      <c r="C20" s="973">
        <f>transport!B14</f>
        <v>32.173587710936559</v>
      </c>
      <c r="D20" s="973">
        <f>transport!C14</f>
        <v>0</v>
      </c>
      <c r="E20" s="973">
        <f>transport!D14</f>
        <v>59.711095841656977</v>
      </c>
      <c r="F20" s="973">
        <f>transport!E14</f>
        <v>102.89347113642364</v>
      </c>
      <c r="G20" s="973">
        <f>transport!F14</f>
        <v>0</v>
      </c>
      <c r="H20" s="973">
        <f>transport!G14</f>
        <v>45243.203812653148</v>
      </c>
      <c r="I20" s="973">
        <f>transport!H14</f>
        <v>9550.8501487317881</v>
      </c>
      <c r="J20" s="973">
        <f>transport!I14</f>
        <v>0</v>
      </c>
      <c r="K20" s="973">
        <f>transport!J14</f>
        <v>0</v>
      </c>
      <c r="L20" s="973">
        <f>transport!K14</f>
        <v>0</v>
      </c>
      <c r="M20" s="973">
        <f>transport!L14</f>
        <v>0</v>
      </c>
      <c r="N20" s="973">
        <f>transport!M14</f>
        <v>2924.5335911059969</v>
      </c>
      <c r="O20" s="973">
        <f>transport!N14</f>
        <v>0</v>
      </c>
      <c r="P20" s="973">
        <f>transport!O14</f>
        <v>0</v>
      </c>
      <c r="Q20" s="974">
        <f>transport!P14</f>
        <v>0</v>
      </c>
      <c r="R20" s="668">
        <f>SUM(C20:Q20)</f>
        <v>57913.365707179953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50.457897757407608</v>
      </c>
      <c r="D22" s="780">
        <f t="shared" ref="D22:R22" si="1">SUM(D18:D21)</f>
        <v>0</v>
      </c>
      <c r="E22" s="780">
        <f t="shared" si="1"/>
        <v>59.711095841656977</v>
      </c>
      <c r="F22" s="780">
        <f t="shared" si="1"/>
        <v>102.89347113642364</v>
      </c>
      <c r="G22" s="780">
        <f t="shared" si="1"/>
        <v>0</v>
      </c>
      <c r="H22" s="780">
        <f t="shared" si="1"/>
        <v>46960.833253356206</v>
      </c>
      <c r="I22" s="780">
        <f t="shared" si="1"/>
        <v>9550.8501487317881</v>
      </c>
      <c r="J22" s="780">
        <f t="shared" si="1"/>
        <v>0</v>
      </c>
      <c r="K22" s="780">
        <f t="shared" si="1"/>
        <v>0</v>
      </c>
      <c r="L22" s="780">
        <f t="shared" si="1"/>
        <v>0</v>
      </c>
      <c r="M22" s="780">
        <f t="shared" si="1"/>
        <v>0</v>
      </c>
      <c r="N22" s="780">
        <f t="shared" si="1"/>
        <v>3023.446713386164</v>
      </c>
      <c r="O22" s="780">
        <f t="shared" si="1"/>
        <v>0</v>
      </c>
      <c r="P22" s="780">
        <f t="shared" si="1"/>
        <v>0</v>
      </c>
      <c r="Q22" s="780">
        <f t="shared" si="1"/>
        <v>0</v>
      </c>
      <c r="R22" s="780">
        <f t="shared" si="1"/>
        <v>59748.192580209652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113.6765080808435</v>
      </c>
      <c r="D24" s="973">
        <f>+landbouw!C8</f>
        <v>0</v>
      </c>
      <c r="E24" s="973">
        <f>+landbouw!D8</f>
        <v>41.182187551581656</v>
      </c>
      <c r="F24" s="973">
        <f>+landbouw!E8</f>
        <v>3.3412997806269527</v>
      </c>
      <c r="G24" s="973">
        <f>+landbouw!F8</f>
        <v>473.57018990871637</v>
      </c>
      <c r="H24" s="973">
        <f>+landbouw!G8</f>
        <v>0</v>
      </c>
      <c r="I24" s="973">
        <f>+landbouw!H8</f>
        <v>0</v>
      </c>
      <c r="J24" s="973">
        <f>+landbouw!I8</f>
        <v>0</v>
      </c>
      <c r="K24" s="973">
        <f>+landbouw!J8</f>
        <v>16.469284789958692</v>
      </c>
      <c r="L24" s="973">
        <f>+landbouw!K8</f>
        <v>0</v>
      </c>
      <c r="M24" s="973">
        <f>+landbouw!L8</f>
        <v>0</v>
      </c>
      <c r="N24" s="973">
        <f>+landbouw!M8</f>
        <v>0</v>
      </c>
      <c r="O24" s="973">
        <f>+landbouw!N8</f>
        <v>0</v>
      </c>
      <c r="P24" s="973">
        <f>+landbouw!O8</f>
        <v>0</v>
      </c>
      <c r="Q24" s="974">
        <f>+landbouw!P8</f>
        <v>0</v>
      </c>
      <c r="R24" s="668">
        <f>SUM(C24:Q24)</f>
        <v>648.2394701117272</v>
      </c>
      <c r="S24" s="67"/>
    </row>
    <row r="25" spans="1:19" s="441" customFormat="1" ht="15" thickBot="1">
      <c r="A25" s="799" t="s">
        <v>808</v>
      </c>
      <c r="B25" s="976"/>
      <c r="C25" s="977">
        <f>IF(Onbekend_ele_kWh="---",0,Onbekend_ele_kWh)/1000+IF(REST_rest_ele_kWh="---",0,REST_rest_ele_kWh)/1000</f>
        <v>562.58682363404205</v>
      </c>
      <c r="D25" s="977"/>
      <c r="E25" s="977">
        <f>IF(onbekend_gas_kWh="---",0,onbekend_gas_kWh)/1000+IF(REST_rest_gas_kWh="---",0,REST_rest_gas_kWh)/1000</f>
        <v>987.85262676956199</v>
      </c>
      <c r="F25" s="977"/>
      <c r="G25" s="977"/>
      <c r="H25" s="977"/>
      <c r="I25" s="977"/>
      <c r="J25" s="977"/>
      <c r="K25" s="977"/>
      <c r="L25" s="977"/>
      <c r="M25" s="977"/>
      <c r="N25" s="977"/>
      <c r="O25" s="977"/>
      <c r="P25" s="977"/>
      <c r="Q25" s="978"/>
      <c r="R25" s="668">
        <f>SUM(C25:Q25)</f>
        <v>1550.439450403604</v>
      </c>
      <c r="S25" s="67"/>
    </row>
    <row r="26" spans="1:19" s="441" customFormat="1" ht="15.75" thickBot="1">
      <c r="A26" s="673" t="s">
        <v>809</v>
      </c>
      <c r="B26" s="785"/>
      <c r="C26" s="780">
        <f>SUM(C24:C25)</f>
        <v>676.26333171488557</v>
      </c>
      <c r="D26" s="780">
        <f t="shared" ref="D26:R26" si="2">SUM(D24:D25)</f>
        <v>0</v>
      </c>
      <c r="E26" s="780">
        <f t="shared" si="2"/>
        <v>1029.0348143211436</v>
      </c>
      <c r="F26" s="780">
        <f t="shared" si="2"/>
        <v>3.3412997806269527</v>
      </c>
      <c r="G26" s="780">
        <f t="shared" si="2"/>
        <v>473.57018990871637</v>
      </c>
      <c r="H26" s="780">
        <f t="shared" si="2"/>
        <v>0</v>
      </c>
      <c r="I26" s="780">
        <f t="shared" si="2"/>
        <v>0</v>
      </c>
      <c r="J26" s="780">
        <f t="shared" si="2"/>
        <v>0</v>
      </c>
      <c r="K26" s="780">
        <f t="shared" si="2"/>
        <v>16.469284789958692</v>
      </c>
      <c r="L26" s="780">
        <f t="shared" si="2"/>
        <v>0</v>
      </c>
      <c r="M26" s="780">
        <f t="shared" si="2"/>
        <v>0</v>
      </c>
      <c r="N26" s="780">
        <f t="shared" si="2"/>
        <v>0</v>
      </c>
      <c r="O26" s="780">
        <f t="shared" si="2"/>
        <v>0</v>
      </c>
      <c r="P26" s="780">
        <f t="shared" si="2"/>
        <v>0</v>
      </c>
      <c r="Q26" s="780">
        <f t="shared" si="2"/>
        <v>0</v>
      </c>
      <c r="R26" s="780">
        <f t="shared" si="2"/>
        <v>2198.6789205153314</v>
      </c>
      <c r="S26" s="67"/>
    </row>
    <row r="27" spans="1:19" s="441" customFormat="1" ht="17.25" thickTop="1" thickBot="1">
      <c r="A27" s="674" t="s">
        <v>115</v>
      </c>
      <c r="B27" s="773"/>
      <c r="C27" s="675">
        <f ca="1">C22+C16+C26</f>
        <v>58148.482792104995</v>
      </c>
      <c r="D27" s="675">
        <f t="shared" ref="D27:R27" ca="1" si="3">D22+D16+D26</f>
        <v>0</v>
      </c>
      <c r="E27" s="675">
        <f t="shared" ca="1" si="3"/>
        <v>76072.095109609916</v>
      </c>
      <c r="F27" s="675">
        <f t="shared" si="3"/>
        <v>2317.0698021762546</v>
      </c>
      <c r="G27" s="675">
        <f t="shared" ca="1" si="3"/>
        <v>44009.804215947159</v>
      </c>
      <c r="H27" s="675">
        <f t="shared" si="3"/>
        <v>46960.833253356206</v>
      </c>
      <c r="I27" s="675">
        <f t="shared" si="3"/>
        <v>9550.8501487317881</v>
      </c>
      <c r="J27" s="675">
        <f t="shared" si="3"/>
        <v>0</v>
      </c>
      <c r="K27" s="675">
        <f t="shared" si="3"/>
        <v>210.01659570309701</v>
      </c>
      <c r="L27" s="675">
        <f t="shared" si="3"/>
        <v>0</v>
      </c>
      <c r="M27" s="675">
        <f t="shared" ca="1" si="3"/>
        <v>0</v>
      </c>
      <c r="N27" s="675">
        <f t="shared" si="3"/>
        <v>3023.446713386164</v>
      </c>
      <c r="O27" s="675">
        <f t="shared" ca="1" si="3"/>
        <v>9602.6413362338171</v>
      </c>
      <c r="P27" s="675">
        <f t="shared" si="3"/>
        <v>234.50000000000003</v>
      </c>
      <c r="Q27" s="675">
        <f t="shared" si="3"/>
        <v>953.33333333333337</v>
      </c>
      <c r="R27" s="675">
        <f t="shared" ca="1" si="3"/>
        <v>251083.07330058268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4244.7025296028714</v>
      </c>
      <c r="D40" s="973">
        <f ca="1">tertiair!C20</f>
        <v>0</v>
      </c>
      <c r="E40" s="973">
        <f ca="1">tertiair!D20</f>
        <v>2423.49312090998</v>
      </c>
      <c r="F40" s="973">
        <f>tertiair!E20</f>
        <v>67.526025141475444</v>
      </c>
      <c r="G40" s="973">
        <f ca="1">tertiair!F20</f>
        <v>892.15676458279086</v>
      </c>
      <c r="H40" s="973">
        <f>tertiair!G20</f>
        <v>0</v>
      </c>
      <c r="I40" s="973">
        <f>tertiair!H20</f>
        <v>0</v>
      </c>
      <c r="J40" s="973">
        <f>tertiair!I20</f>
        <v>0</v>
      </c>
      <c r="K40" s="973">
        <f>tertiair!J20</f>
        <v>1.0518486410434631E-2</v>
      </c>
      <c r="L40" s="973">
        <f>tertiair!K20</f>
        <v>0</v>
      </c>
      <c r="M40" s="973">
        <f ca="1">tertiair!L20</f>
        <v>0</v>
      </c>
      <c r="N40" s="973">
        <f>tertiair!M20</f>
        <v>0</v>
      </c>
      <c r="O40" s="973">
        <f ca="1">tertiair!N20</f>
        <v>0</v>
      </c>
      <c r="P40" s="973">
        <f>tertiair!O20</f>
        <v>0</v>
      </c>
      <c r="Q40" s="742">
        <f>tertiair!P20</f>
        <v>0</v>
      </c>
      <c r="R40" s="818">
        <f t="shared" ca="1" si="4"/>
        <v>7627.888958723528</v>
      </c>
    </row>
    <row r="41" spans="1:18">
      <c r="A41" s="790" t="s">
        <v>219</v>
      </c>
      <c r="B41" s="797"/>
      <c r="C41" s="973">
        <f ca="1">huishoudens!B12</f>
        <v>4735.0152391601951</v>
      </c>
      <c r="D41" s="973">
        <f ca="1">huishoudens!C12</f>
        <v>0</v>
      </c>
      <c r="E41" s="973">
        <f>huishoudens!D12</f>
        <v>7630.1037792828974</v>
      </c>
      <c r="F41" s="973">
        <f>huishoudens!E12</f>
        <v>343.52528454503255</v>
      </c>
      <c r="G41" s="973">
        <f>huishoudens!F12</f>
        <v>10237.028006239294</v>
      </c>
      <c r="H41" s="973">
        <f>huishoudens!G12</f>
        <v>0</v>
      </c>
      <c r="I41" s="973">
        <f>huishoudens!H12</f>
        <v>0</v>
      </c>
      <c r="J41" s="973">
        <f>huishoudens!I12</f>
        <v>0</v>
      </c>
      <c r="K41" s="973">
        <f>huishoudens!J12</f>
        <v>65.310255852379726</v>
      </c>
      <c r="L41" s="973">
        <f>huishoudens!K12</f>
        <v>0</v>
      </c>
      <c r="M41" s="973">
        <f>huishoudens!L12</f>
        <v>0</v>
      </c>
      <c r="N41" s="973">
        <f>huishoudens!M12</f>
        <v>0</v>
      </c>
      <c r="O41" s="973">
        <f>huishoudens!N12</f>
        <v>0</v>
      </c>
      <c r="P41" s="973">
        <f>huishoudens!O12</f>
        <v>0</v>
      </c>
      <c r="Q41" s="742">
        <f>huishoudens!P12</f>
        <v>0</v>
      </c>
      <c r="R41" s="818">
        <f t="shared" ca="1" si="4"/>
        <v>23010.982565079797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2995.307686269814</v>
      </c>
      <c r="D43" s="973">
        <f ca="1">industrie!C22</f>
        <v>0</v>
      </c>
      <c r="E43" s="973">
        <f>industrie!D22</f>
        <v>5093.0396380954398</v>
      </c>
      <c r="F43" s="973">
        <f>industrie!E22</f>
        <v>90.808242409331356</v>
      </c>
      <c r="G43" s="973">
        <f>industrie!F22</f>
        <v>494.98971413018069</v>
      </c>
      <c r="H43" s="973">
        <f>industrie!G22</f>
        <v>0</v>
      </c>
      <c r="I43" s="973">
        <f>industrie!H22</f>
        <v>0</v>
      </c>
      <c r="J43" s="973">
        <f>industrie!I22</f>
        <v>0</v>
      </c>
      <c r="K43" s="973">
        <f>industrie!J22</f>
        <v>3.194973724460803</v>
      </c>
      <c r="L43" s="973">
        <f>industrie!K22</f>
        <v>0</v>
      </c>
      <c r="M43" s="973">
        <f>industrie!L22</f>
        <v>0</v>
      </c>
      <c r="N43" s="973">
        <f>industrie!M22</f>
        <v>0</v>
      </c>
      <c r="O43" s="973">
        <f>industrie!N22</f>
        <v>0</v>
      </c>
      <c r="P43" s="973">
        <f>industrie!O22</f>
        <v>0</v>
      </c>
      <c r="Q43" s="742">
        <f>industrie!P22</f>
        <v>0</v>
      </c>
      <c r="R43" s="817">
        <f t="shared" ca="1" si="4"/>
        <v>8677.3402546292273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11975.025455032881</v>
      </c>
      <c r="D46" s="700">
        <f t="shared" ref="D46:Q46" ca="1" si="5">SUM(D39:D45)</f>
        <v>0</v>
      </c>
      <c r="E46" s="700">
        <f t="shared" ca="1" si="5"/>
        <v>15146.636538288316</v>
      </c>
      <c r="F46" s="700">
        <f t="shared" si="5"/>
        <v>501.85955209583932</v>
      </c>
      <c r="G46" s="700">
        <f t="shared" ca="1" si="5"/>
        <v>11624.174484952266</v>
      </c>
      <c r="H46" s="700">
        <f t="shared" si="5"/>
        <v>0</v>
      </c>
      <c r="I46" s="700">
        <f t="shared" si="5"/>
        <v>0</v>
      </c>
      <c r="J46" s="700">
        <f t="shared" si="5"/>
        <v>0</v>
      </c>
      <c r="K46" s="700">
        <f t="shared" si="5"/>
        <v>68.515748063250967</v>
      </c>
      <c r="L46" s="700">
        <f t="shared" si="5"/>
        <v>0</v>
      </c>
      <c r="M46" s="700">
        <f t="shared" ca="1" si="5"/>
        <v>0</v>
      </c>
      <c r="N46" s="700">
        <f t="shared" si="5"/>
        <v>0</v>
      </c>
      <c r="O46" s="700">
        <f t="shared" ca="1" si="5"/>
        <v>0</v>
      </c>
      <c r="P46" s="700">
        <f t="shared" si="5"/>
        <v>0</v>
      </c>
      <c r="Q46" s="700">
        <f t="shared" si="5"/>
        <v>0</v>
      </c>
      <c r="R46" s="700">
        <f ca="1">SUM(R39:R45)</f>
        <v>39316.211778432553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3.8131027728116504</v>
      </c>
      <c r="D49" s="973">
        <f ca="1">transport!C58</f>
        <v>0</v>
      </c>
      <c r="E49" s="973">
        <f>transport!D58</f>
        <v>0</v>
      </c>
      <c r="F49" s="973">
        <f>transport!E58</f>
        <v>0</v>
      </c>
      <c r="G49" s="973">
        <f>transport!F58</f>
        <v>0</v>
      </c>
      <c r="H49" s="973">
        <f>transport!G58</f>
        <v>458.60706066771746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462.42016344052911</v>
      </c>
    </row>
    <row r="50" spans="1:18">
      <c r="A50" s="793" t="s">
        <v>301</v>
      </c>
      <c r="B50" s="803"/>
      <c r="C50" s="671">
        <f ca="1">transport!B18</f>
        <v>6.7096431968210393</v>
      </c>
      <c r="D50" s="671">
        <f>transport!C18</f>
        <v>0</v>
      </c>
      <c r="E50" s="671">
        <f>transport!D18</f>
        <v>12.061641360014709</v>
      </c>
      <c r="F50" s="671">
        <f>transport!E18</f>
        <v>23.356817947968167</v>
      </c>
      <c r="G50" s="671">
        <f>transport!F18</f>
        <v>0</v>
      </c>
      <c r="H50" s="671">
        <f>transport!G18</f>
        <v>12079.935417978391</v>
      </c>
      <c r="I50" s="671">
        <f>transport!H18</f>
        <v>2378.1616870342154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14500.225207517411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10.522745969632689</v>
      </c>
      <c r="D52" s="700">
        <f t="shared" ref="D52:Q52" ca="1" si="6">SUM(D48:D51)</f>
        <v>0</v>
      </c>
      <c r="E52" s="700">
        <f t="shared" si="6"/>
        <v>12.061641360014709</v>
      </c>
      <c r="F52" s="700">
        <f t="shared" si="6"/>
        <v>23.356817947968167</v>
      </c>
      <c r="G52" s="700">
        <f t="shared" si="6"/>
        <v>0</v>
      </c>
      <c r="H52" s="700">
        <f t="shared" si="6"/>
        <v>12538.542478646108</v>
      </c>
      <c r="I52" s="700">
        <f t="shared" si="6"/>
        <v>2378.1616870342154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14962.64537095794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23.706675672471992</v>
      </c>
      <c r="D54" s="671">
        <f ca="1">+landbouw!C12</f>
        <v>0</v>
      </c>
      <c r="E54" s="671">
        <f>+landbouw!D12</f>
        <v>8.3188018854194947</v>
      </c>
      <c r="F54" s="671">
        <f>+landbouw!E12</f>
        <v>0.75847505020231831</v>
      </c>
      <c r="G54" s="671">
        <f>+landbouw!F12</f>
        <v>126.44324070562728</v>
      </c>
      <c r="H54" s="671">
        <f>+landbouw!G12</f>
        <v>0</v>
      </c>
      <c r="I54" s="671">
        <f>+landbouw!H12</f>
        <v>0</v>
      </c>
      <c r="J54" s="671">
        <f>+landbouw!I12</f>
        <v>0</v>
      </c>
      <c r="K54" s="671">
        <f>+landbouw!J12</f>
        <v>5.8301268156453769</v>
      </c>
      <c r="L54" s="671">
        <f>+landbouw!K12</f>
        <v>0</v>
      </c>
      <c r="M54" s="671">
        <f>+landbouw!L12</f>
        <v>0</v>
      </c>
      <c r="N54" s="671">
        <f>+landbouw!M12</f>
        <v>0</v>
      </c>
      <c r="O54" s="671">
        <f>+landbouw!N12</f>
        <v>0</v>
      </c>
      <c r="P54" s="671">
        <f>+landbouw!O12</f>
        <v>0</v>
      </c>
      <c r="Q54" s="672">
        <f>+landbouw!P12</f>
        <v>0</v>
      </c>
      <c r="R54" s="699">
        <f ca="1">SUM(C54:Q54)</f>
        <v>165.05732012936645</v>
      </c>
    </row>
    <row r="55" spans="1:18" ht="15" thickBot="1">
      <c r="A55" s="793" t="s">
        <v>808</v>
      </c>
      <c r="B55" s="803"/>
      <c r="C55" s="671">
        <f ca="1">C25*'EF ele_warmte'!B12</f>
        <v>117.32471018562158</v>
      </c>
      <c r="D55" s="671"/>
      <c r="E55" s="671">
        <f>E25*EF_CO2_aardgas</f>
        <v>199.54623060745155</v>
      </c>
      <c r="F55" s="671"/>
      <c r="G55" s="671"/>
      <c r="H55" s="671"/>
      <c r="I55" s="671"/>
      <c r="J55" s="671"/>
      <c r="K55" s="671"/>
      <c r="L55" s="671"/>
      <c r="M55" s="671"/>
      <c r="N55" s="671"/>
      <c r="O55" s="671"/>
      <c r="P55" s="671"/>
      <c r="Q55" s="672"/>
      <c r="R55" s="699">
        <f ca="1">SUM(C55:Q55)</f>
        <v>316.87094079307315</v>
      </c>
    </row>
    <row r="56" spans="1:18" ht="15.75" thickBot="1">
      <c r="A56" s="791" t="s">
        <v>809</v>
      </c>
      <c r="B56" s="804"/>
      <c r="C56" s="700">
        <f ca="1">SUM(C54:C55)</f>
        <v>141.03138585809359</v>
      </c>
      <c r="D56" s="700">
        <f t="shared" ref="D56:Q56" ca="1" si="7">SUM(D54:D55)</f>
        <v>0</v>
      </c>
      <c r="E56" s="700">
        <f t="shared" si="7"/>
        <v>207.86503249287105</v>
      </c>
      <c r="F56" s="700">
        <f t="shared" si="7"/>
        <v>0.75847505020231831</v>
      </c>
      <c r="G56" s="700">
        <f t="shared" si="7"/>
        <v>126.44324070562728</v>
      </c>
      <c r="H56" s="700">
        <f t="shared" si="7"/>
        <v>0</v>
      </c>
      <c r="I56" s="700">
        <f t="shared" si="7"/>
        <v>0</v>
      </c>
      <c r="J56" s="700">
        <f t="shared" si="7"/>
        <v>0</v>
      </c>
      <c r="K56" s="700">
        <f t="shared" si="7"/>
        <v>5.8301268156453769</v>
      </c>
      <c r="L56" s="700">
        <f t="shared" si="7"/>
        <v>0</v>
      </c>
      <c r="M56" s="700">
        <f t="shared" si="7"/>
        <v>0</v>
      </c>
      <c r="N56" s="700">
        <f t="shared" si="7"/>
        <v>0</v>
      </c>
      <c r="O56" s="700">
        <f t="shared" si="7"/>
        <v>0</v>
      </c>
      <c r="P56" s="700">
        <f t="shared" si="7"/>
        <v>0</v>
      </c>
      <c r="Q56" s="701">
        <f t="shared" si="7"/>
        <v>0</v>
      </c>
      <c r="R56" s="702">
        <f ca="1">SUM(R54:R55)</f>
        <v>481.92826092243956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12126.579586860607</v>
      </c>
      <c r="D61" s="708">
        <f t="shared" ref="D61:Q61" ca="1" si="8">D46+D52+D56</f>
        <v>0</v>
      </c>
      <c r="E61" s="708">
        <f t="shared" ca="1" si="8"/>
        <v>15366.563212141202</v>
      </c>
      <c r="F61" s="708">
        <f t="shared" si="8"/>
        <v>525.97484509400977</v>
      </c>
      <c r="G61" s="708">
        <f t="shared" ca="1" si="8"/>
        <v>11750.617725657892</v>
      </c>
      <c r="H61" s="708">
        <f t="shared" si="8"/>
        <v>12538.542478646108</v>
      </c>
      <c r="I61" s="708">
        <f t="shared" si="8"/>
        <v>2378.1616870342154</v>
      </c>
      <c r="J61" s="708">
        <f t="shared" si="8"/>
        <v>0</v>
      </c>
      <c r="K61" s="708">
        <f t="shared" si="8"/>
        <v>74.345874878896339</v>
      </c>
      <c r="L61" s="708">
        <f t="shared" si="8"/>
        <v>0</v>
      </c>
      <c r="M61" s="708">
        <f t="shared" ca="1" si="8"/>
        <v>0</v>
      </c>
      <c r="N61" s="708">
        <f t="shared" si="8"/>
        <v>0</v>
      </c>
      <c r="O61" s="708">
        <f t="shared" ca="1" si="8"/>
        <v>0</v>
      </c>
      <c r="P61" s="708">
        <f t="shared" si="8"/>
        <v>0</v>
      </c>
      <c r="Q61" s="708">
        <f t="shared" si="8"/>
        <v>0</v>
      </c>
      <c r="R61" s="708">
        <f ca="1">R46+R52+R56</f>
        <v>54760.785410312928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0.20854507296804434</v>
      </c>
      <c r="D63" s="749">
        <f t="shared" ca="1" si="9"/>
        <v>0</v>
      </c>
      <c r="E63" s="984">
        <f t="shared" ca="1" si="9"/>
        <v>0.20199999999999999</v>
      </c>
      <c r="F63" s="749">
        <f t="shared" si="9"/>
        <v>0.22699999999999998</v>
      </c>
      <c r="G63" s="749">
        <f t="shared" ca="1" si="9"/>
        <v>0.26700000000000002</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3277.0819465818886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3277.0819465818886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22704.996918751222</v>
      </c>
      <c r="C4" s="445">
        <f>huishoudens!C8</f>
        <v>0</v>
      </c>
      <c r="D4" s="445">
        <f>huishoudens!D8</f>
        <v>37772.790986548993</v>
      </c>
      <c r="E4" s="445">
        <f>huishoudens!E8</f>
        <v>1513.3272446917733</v>
      </c>
      <c r="F4" s="445">
        <f>huishoudens!F8</f>
        <v>38340.928862319452</v>
      </c>
      <c r="G4" s="445">
        <f>huishoudens!G8</f>
        <v>0</v>
      </c>
      <c r="H4" s="445">
        <f>huishoudens!H8</f>
        <v>0</v>
      </c>
      <c r="I4" s="445">
        <f>huishoudens!I8</f>
        <v>0</v>
      </c>
      <c r="J4" s="445">
        <f>huishoudens!J8</f>
        <v>184.49224817056421</v>
      </c>
      <c r="K4" s="445">
        <f>huishoudens!K8</f>
        <v>0</v>
      </c>
      <c r="L4" s="445">
        <f>huishoudens!L8</f>
        <v>0</v>
      </c>
      <c r="M4" s="445">
        <f>huishoudens!M8</f>
        <v>0</v>
      </c>
      <c r="N4" s="445">
        <f>huishoudens!N8</f>
        <v>7408.4545135436128</v>
      </c>
      <c r="O4" s="445">
        <f>huishoudens!O8</f>
        <v>232.9366666666667</v>
      </c>
      <c r="P4" s="446">
        <f>huishoudens!P8</f>
        <v>915.2</v>
      </c>
      <c r="Q4" s="447">
        <f>SUM(B4:P4)</f>
        <v>109073.12744069227</v>
      </c>
    </row>
    <row r="5" spans="1:17">
      <c r="A5" s="444" t="s">
        <v>155</v>
      </c>
      <c r="B5" s="445">
        <f ca="1">tertiair!B16</f>
        <v>19411.60646558131</v>
      </c>
      <c r="C5" s="445">
        <f ca="1">tertiair!C16</f>
        <v>0</v>
      </c>
      <c r="D5" s="445">
        <f ca="1">tertiair!D16</f>
        <v>11997.490697574158</v>
      </c>
      <c r="E5" s="445">
        <f>tertiair!E16</f>
        <v>297.47147639416494</v>
      </c>
      <c r="F5" s="445">
        <f ca="1">tertiair!F16</f>
        <v>3341.4111033063327</v>
      </c>
      <c r="G5" s="445">
        <f>tertiair!G16</f>
        <v>0</v>
      </c>
      <c r="H5" s="445">
        <f>tertiair!H16</f>
        <v>0</v>
      </c>
      <c r="I5" s="445">
        <f>tertiair!I16</f>
        <v>0</v>
      </c>
      <c r="J5" s="445">
        <f>tertiair!J16</f>
        <v>2.9713238447555457E-2</v>
      </c>
      <c r="K5" s="445">
        <f>tertiair!K16</f>
        <v>0</v>
      </c>
      <c r="L5" s="445">
        <f ca="1">tertiair!L16</f>
        <v>0</v>
      </c>
      <c r="M5" s="445">
        <f>tertiair!M16</f>
        <v>0</v>
      </c>
      <c r="N5" s="445">
        <f ca="1">tertiair!N16</f>
        <v>1194.2115779114656</v>
      </c>
      <c r="O5" s="445">
        <f>tertiair!O16</f>
        <v>1.5633333333333335</v>
      </c>
      <c r="P5" s="446">
        <f>tertiair!P16</f>
        <v>38.133333333333333</v>
      </c>
      <c r="Q5" s="444">
        <f t="shared" ref="Q5:Q14" ca="1" si="0">SUM(B5:P5)</f>
        <v>36281.917700672544</v>
      </c>
    </row>
    <row r="6" spans="1:17">
      <c r="A6" s="444" t="s">
        <v>193</v>
      </c>
      <c r="B6" s="445">
        <f>'openbare verlichting'!B8</f>
        <v>942.279</v>
      </c>
      <c r="C6" s="445"/>
      <c r="D6" s="445"/>
      <c r="E6" s="445"/>
      <c r="F6" s="445"/>
      <c r="G6" s="445"/>
      <c r="H6" s="445"/>
      <c r="I6" s="445"/>
      <c r="J6" s="445"/>
      <c r="K6" s="445"/>
      <c r="L6" s="445"/>
      <c r="M6" s="445"/>
      <c r="N6" s="445"/>
      <c r="O6" s="445"/>
      <c r="P6" s="446"/>
      <c r="Q6" s="444">
        <f t="shared" si="0"/>
        <v>942.279</v>
      </c>
    </row>
    <row r="7" spans="1:17">
      <c r="A7" s="444" t="s">
        <v>111</v>
      </c>
      <c r="B7" s="445">
        <f>landbouw!B8</f>
        <v>113.6765080808435</v>
      </c>
      <c r="C7" s="445">
        <f>landbouw!C8</f>
        <v>0</v>
      </c>
      <c r="D7" s="445">
        <f>landbouw!D8</f>
        <v>41.182187551581656</v>
      </c>
      <c r="E7" s="445">
        <f>landbouw!E8</f>
        <v>3.3412997806269527</v>
      </c>
      <c r="F7" s="445">
        <f>landbouw!F8</f>
        <v>473.57018990871637</v>
      </c>
      <c r="G7" s="445">
        <f>landbouw!G8</f>
        <v>0</v>
      </c>
      <c r="H7" s="445">
        <f>landbouw!H8</f>
        <v>0</v>
      </c>
      <c r="I7" s="445">
        <f>landbouw!I8</f>
        <v>0</v>
      </c>
      <c r="J7" s="445">
        <f>landbouw!J8</f>
        <v>16.469284789958692</v>
      </c>
      <c r="K7" s="445">
        <f>landbouw!K8</f>
        <v>0</v>
      </c>
      <c r="L7" s="445">
        <f>landbouw!L8</f>
        <v>0</v>
      </c>
      <c r="M7" s="445">
        <f>landbouw!M8</f>
        <v>0</v>
      </c>
      <c r="N7" s="445">
        <f>landbouw!N8</f>
        <v>0</v>
      </c>
      <c r="O7" s="445">
        <f>landbouw!O8</f>
        <v>0</v>
      </c>
      <c r="P7" s="446">
        <f>landbouw!P8</f>
        <v>0</v>
      </c>
      <c r="Q7" s="444">
        <f t="shared" si="0"/>
        <v>648.2394701117272</v>
      </c>
    </row>
    <row r="8" spans="1:17">
      <c r="A8" s="444" t="s">
        <v>627</v>
      </c>
      <c r="B8" s="445">
        <f>industrie!B18</f>
        <v>14362.879178300172</v>
      </c>
      <c r="C8" s="445">
        <f>industrie!C18</f>
        <v>0</v>
      </c>
      <c r="D8" s="445">
        <f>industrie!D18</f>
        <v>25213.067515323957</v>
      </c>
      <c r="E8" s="445">
        <f>industrie!E18</f>
        <v>400.03631017326586</v>
      </c>
      <c r="F8" s="445">
        <f>industrie!F18</f>
        <v>1853.8940604126617</v>
      </c>
      <c r="G8" s="445">
        <f>industrie!G18</f>
        <v>0</v>
      </c>
      <c r="H8" s="445">
        <f>industrie!H18</f>
        <v>0</v>
      </c>
      <c r="I8" s="445">
        <f>industrie!I18</f>
        <v>0</v>
      </c>
      <c r="J8" s="445">
        <f>industrie!J18</f>
        <v>9.025349504126563</v>
      </c>
      <c r="K8" s="445">
        <f>industrie!K18</f>
        <v>0</v>
      </c>
      <c r="L8" s="445">
        <f>industrie!L18</f>
        <v>0</v>
      </c>
      <c r="M8" s="445">
        <f>industrie!M18</f>
        <v>0</v>
      </c>
      <c r="N8" s="445">
        <f>industrie!N18</f>
        <v>999.97524477873947</v>
      </c>
      <c r="O8" s="445">
        <f>industrie!O18</f>
        <v>0</v>
      </c>
      <c r="P8" s="446">
        <f>industrie!P18</f>
        <v>0</v>
      </c>
      <c r="Q8" s="444">
        <f t="shared" si="0"/>
        <v>42838.877658492922</v>
      </c>
    </row>
    <row r="9" spans="1:17" s="450" customFormat="1">
      <c r="A9" s="448" t="s">
        <v>553</v>
      </c>
      <c r="B9" s="449">
        <f>transport!B14</f>
        <v>32.173587710936559</v>
      </c>
      <c r="C9" s="449">
        <f>transport!C14</f>
        <v>0</v>
      </c>
      <c r="D9" s="449">
        <f>transport!D14</f>
        <v>59.711095841656977</v>
      </c>
      <c r="E9" s="449">
        <f>transport!E14</f>
        <v>102.89347113642364</v>
      </c>
      <c r="F9" s="449">
        <f>transport!F14</f>
        <v>0</v>
      </c>
      <c r="G9" s="449">
        <f>transport!G14</f>
        <v>45243.203812653148</v>
      </c>
      <c r="H9" s="449">
        <f>transport!H14</f>
        <v>9550.8501487317881</v>
      </c>
      <c r="I9" s="449">
        <f>transport!I14</f>
        <v>0</v>
      </c>
      <c r="J9" s="449">
        <f>transport!J14</f>
        <v>0</v>
      </c>
      <c r="K9" s="449">
        <f>transport!K14</f>
        <v>0</v>
      </c>
      <c r="L9" s="449">
        <f>transport!L14</f>
        <v>0</v>
      </c>
      <c r="M9" s="449">
        <f>transport!M14</f>
        <v>2924.5335911059969</v>
      </c>
      <c r="N9" s="449">
        <f>transport!N14</f>
        <v>0</v>
      </c>
      <c r="O9" s="449">
        <f>transport!O14</f>
        <v>0</v>
      </c>
      <c r="P9" s="449">
        <f>transport!P14</f>
        <v>0</v>
      </c>
      <c r="Q9" s="448">
        <f>SUM(B9:P9)</f>
        <v>57913.365707179953</v>
      </c>
    </row>
    <row r="10" spans="1:17">
      <c r="A10" s="444" t="s">
        <v>543</v>
      </c>
      <c r="B10" s="445">
        <f>transport!B54</f>
        <v>18.284310046471045</v>
      </c>
      <c r="C10" s="445">
        <f>transport!C54</f>
        <v>0</v>
      </c>
      <c r="D10" s="445">
        <f>transport!D54</f>
        <v>0</v>
      </c>
      <c r="E10" s="445">
        <f>transport!E54</f>
        <v>0</v>
      </c>
      <c r="F10" s="445">
        <f>transport!F54</f>
        <v>0</v>
      </c>
      <c r="G10" s="445">
        <f>transport!G54</f>
        <v>1717.6294407030616</v>
      </c>
      <c r="H10" s="445">
        <f>transport!H54</f>
        <v>0</v>
      </c>
      <c r="I10" s="445">
        <f>transport!I54</f>
        <v>0</v>
      </c>
      <c r="J10" s="445">
        <f>transport!J54</f>
        <v>0</v>
      </c>
      <c r="K10" s="445">
        <f>transport!K54</f>
        <v>0</v>
      </c>
      <c r="L10" s="445">
        <f>transport!L54</f>
        <v>0</v>
      </c>
      <c r="M10" s="445">
        <f>transport!M54</f>
        <v>98.913122280166931</v>
      </c>
      <c r="N10" s="445">
        <f>transport!N54</f>
        <v>0</v>
      </c>
      <c r="O10" s="445">
        <f>transport!O54</f>
        <v>0</v>
      </c>
      <c r="P10" s="446">
        <f>transport!P54</f>
        <v>0</v>
      </c>
      <c r="Q10" s="444">
        <f t="shared" si="0"/>
        <v>1834.8268730296995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562.58682363404205</v>
      </c>
      <c r="C14" s="452"/>
      <c r="D14" s="452">
        <f>'SEAP template'!E25</f>
        <v>987.85262676956199</v>
      </c>
      <c r="E14" s="452"/>
      <c r="F14" s="452"/>
      <c r="G14" s="452"/>
      <c r="H14" s="452"/>
      <c r="I14" s="452"/>
      <c r="J14" s="452"/>
      <c r="K14" s="452"/>
      <c r="L14" s="452"/>
      <c r="M14" s="452"/>
      <c r="N14" s="452"/>
      <c r="O14" s="452"/>
      <c r="P14" s="453"/>
      <c r="Q14" s="444">
        <f t="shared" si="0"/>
        <v>1550.439450403604</v>
      </c>
    </row>
    <row r="15" spans="1:17" s="454" customFormat="1">
      <c r="A15" s="999" t="s">
        <v>547</v>
      </c>
      <c r="B15" s="947">
        <f ca="1">SUM(B4:B14)</f>
        <v>58148.482792104995</v>
      </c>
      <c r="C15" s="947">
        <f t="shared" ref="C15:Q15" ca="1" si="1">SUM(C4:C14)</f>
        <v>0</v>
      </c>
      <c r="D15" s="947">
        <f t="shared" ca="1" si="1"/>
        <v>76072.095109609902</v>
      </c>
      <c r="E15" s="947">
        <f t="shared" si="1"/>
        <v>2317.0698021762546</v>
      </c>
      <c r="F15" s="947">
        <f t="shared" ca="1" si="1"/>
        <v>44009.804215947159</v>
      </c>
      <c r="G15" s="947">
        <f t="shared" si="1"/>
        <v>46960.833253356206</v>
      </c>
      <c r="H15" s="947">
        <f t="shared" si="1"/>
        <v>9550.8501487317881</v>
      </c>
      <c r="I15" s="947">
        <f t="shared" si="1"/>
        <v>0</v>
      </c>
      <c r="J15" s="947">
        <f t="shared" si="1"/>
        <v>210.01659570309701</v>
      </c>
      <c r="K15" s="947">
        <f t="shared" si="1"/>
        <v>0</v>
      </c>
      <c r="L15" s="947">
        <f t="shared" ca="1" si="1"/>
        <v>0</v>
      </c>
      <c r="M15" s="947">
        <f t="shared" si="1"/>
        <v>3023.446713386164</v>
      </c>
      <c r="N15" s="947">
        <f t="shared" ca="1" si="1"/>
        <v>9602.6413362338171</v>
      </c>
      <c r="O15" s="947">
        <f t="shared" si="1"/>
        <v>234.50000000000003</v>
      </c>
      <c r="P15" s="947">
        <f t="shared" si="1"/>
        <v>953.33333333333337</v>
      </c>
      <c r="Q15" s="947">
        <f t="shared" ca="1" si="1"/>
        <v>251083.07330058276</v>
      </c>
    </row>
    <row r="17" spans="1:17">
      <c r="A17" s="455" t="s">
        <v>548</v>
      </c>
      <c r="B17" s="754">
        <f ca="1">huishoudens!B10</f>
        <v>0.20854507296804434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4735.0152391601951</v>
      </c>
      <c r="C22" s="445">
        <f t="shared" ref="C22:C32" ca="1" si="3">C4*$C$17</f>
        <v>0</v>
      </c>
      <c r="D22" s="445">
        <f t="shared" ref="D22:D32" si="4">D4*$D$17</f>
        <v>7630.1037792828974</v>
      </c>
      <c r="E22" s="445">
        <f t="shared" ref="E22:E32" si="5">E4*$E$17</f>
        <v>343.52528454503255</v>
      </c>
      <c r="F22" s="445">
        <f t="shared" ref="F22:F32" si="6">F4*$F$17</f>
        <v>10237.028006239294</v>
      </c>
      <c r="G22" s="445">
        <f t="shared" ref="G22:G32" si="7">G4*$G$17</f>
        <v>0</v>
      </c>
      <c r="H22" s="445">
        <f t="shared" ref="H22:H32" si="8">H4*$H$17</f>
        <v>0</v>
      </c>
      <c r="I22" s="445">
        <f t="shared" ref="I22:I32" si="9">I4*$I$17</f>
        <v>0</v>
      </c>
      <c r="J22" s="445">
        <f t="shared" ref="J22:J32" si="10">J4*$J$17</f>
        <v>65.310255852379726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23010.982565079797</v>
      </c>
    </row>
    <row r="23" spans="1:17">
      <c r="A23" s="444" t="s">
        <v>155</v>
      </c>
      <c r="B23" s="445">
        <f t="shared" ca="1" si="2"/>
        <v>4048.1948867916153</v>
      </c>
      <c r="C23" s="445">
        <f t="shared" ca="1" si="3"/>
        <v>0</v>
      </c>
      <c r="D23" s="445">
        <f t="shared" ca="1" si="4"/>
        <v>2423.49312090998</v>
      </c>
      <c r="E23" s="445">
        <f t="shared" si="5"/>
        <v>67.526025141475444</v>
      </c>
      <c r="F23" s="445">
        <f t="shared" ca="1" si="6"/>
        <v>892.15676458279086</v>
      </c>
      <c r="G23" s="445">
        <f t="shared" si="7"/>
        <v>0</v>
      </c>
      <c r="H23" s="445">
        <f t="shared" si="8"/>
        <v>0</v>
      </c>
      <c r="I23" s="445">
        <f t="shared" si="9"/>
        <v>0</v>
      </c>
      <c r="J23" s="445">
        <f t="shared" si="10"/>
        <v>1.0518486410434631E-2</v>
      </c>
      <c r="K23" s="445">
        <f t="shared" si="11"/>
        <v>0</v>
      </c>
      <c r="L23" s="445">
        <f t="shared" ca="1" si="12"/>
        <v>0</v>
      </c>
      <c r="M23" s="445">
        <f t="shared" si="13"/>
        <v>0</v>
      </c>
      <c r="N23" s="445">
        <f t="shared" ca="1" si="14"/>
        <v>0</v>
      </c>
      <c r="O23" s="445">
        <f t="shared" si="15"/>
        <v>0</v>
      </c>
      <c r="P23" s="446">
        <f t="shared" si="16"/>
        <v>0</v>
      </c>
      <c r="Q23" s="444">
        <f t="shared" ref="Q23:Q32" ca="1" si="17">SUM(B23:P23)</f>
        <v>7431.3813159122728</v>
      </c>
    </row>
    <row r="24" spans="1:17">
      <c r="A24" s="444" t="s">
        <v>193</v>
      </c>
      <c r="B24" s="445">
        <f t="shared" ca="1" si="2"/>
        <v>196.50764281125586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196.50764281125586</v>
      </c>
    </row>
    <row r="25" spans="1:17">
      <c r="A25" s="444" t="s">
        <v>111</v>
      </c>
      <c r="B25" s="445">
        <f t="shared" ca="1" si="2"/>
        <v>23.706675672471992</v>
      </c>
      <c r="C25" s="445">
        <f t="shared" ca="1" si="3"/>
        <v>0</v>
      </c>
      <c r="D25" s="445">
        <f t="shared" si="4"/>
        <v>8.3188018854194947</v>
      </c>
      <c r="E25" s="445">
        <f t="shared" si="5"/>
        <v>0.75847505020231831</v>
      </c>
      <c r="F25" s="445">
        <f t="shared" si="6"/>
        <v>126.44324070562728</v>
      </c>
      <c r="G25" s="445">
        <f t="shared" si="7"/>
        <v>0</v>
      </c>
      <c r="H25" s="445">
        <f t="shared" si="8"/>
        <v>0</v>
      </c>
      <c r="I25" s="445">
        <f t="shared" si="9"/>
        <v>0</v>
      </c>
      <c r="J25" s="445">
        <f t="shared" si="10"/>
        <v>5.8301268156453769</v>
      </c>
      <c r="K25" s="445">
        <f t="shared" si="11"/>
        <v>0</v>
      </c>
      <c r="L25" s="445">
        <f t="shared" si="12"/>
        <v>0</v>
      </c>
      <c r="M25" s="445">
        <f t="shared" si="13"/>
        <v>0</v>
      </c>
      <c r="N25" s="445">
        <f t="shared" si="14"/>
        <v>0</v>
      </c>
      <c r="O25" s="445">
        <f t="shared" si="15"/>
        <v>0</v>
      </c>
      <c r="P25" s="446">
        <f t="shared" si="16"/>
        <v>0</v>
      </c>
      <c r="Q25" s="444">
        <f t="shared" ca="1" si="17"/>
        <v>165.05732012936645</v>
      </c>
    </row>
    <row r="26" spans="1:17">
      <c r="A26" s="444" t="s">
        <v>627</v>
      </c>
      <c r="B26" s="445">
        <f t="shared" ca="1" si="2"/>
        <v>2995.307686269814</v>
      </c>
      <c r="C26" s="445">
        <f t="shared" ca="1" si="3"/>
        <v>0</v>
      </c>
      <c r="D26" s="445">
        <f t="shared" si="4"/>
        <v>5093.0396380954398</v>
      </c>
      <c r="E26" s="445">
        <f t="shared" si="5"/>
        <v>90.808242409331356</v>
      </c>
      <c r="F26" s="445">
        <f t="shared" si="6"/>
        <v>494.98971413018069</v>
      </c>
      <c r="G26" s="445">
        <f t="shared" si="7"/>
        <v>0</v>
      </c>
      <c r="H26" s="445">
        <f t="shared" si="8"/>
        <v>0</v>
      </c>
      <c r="I26" s="445">
        <f t="shared" si="9"/>
        <v>0</v>
      </c>
      <c r="J26" s="445">
        <f t="shared" si="10"/>
        <v>3.194973724460803</v>
      </c>
      <c r="K26" s="445">
        <f t="shared" si="11"/>
        <v>0</v>
      </c>
      <c r="L26" s="445">
        <f t="shared" si="12"/>
        <v>0</v>
      </c>
      <c r="M26" s="445">
        <f t="shared" si="13"/>
        <v>0</v>
      </c>
      <c r="N26" s="445">
        <f t="shared" si="14"/>
        <v>0</v>
      </c>
      <c r="O26" s="445">
        <f t="shared" si="15"/>
        <v>0</v>
      </c>
      <c r="P26" s="446">
        <f t="shared" si="16"/>
        <v>0</v>
      </c>
      <c r="Q26" s="444">
        <f t="shared" ca="1" si="17"/>
        <v>8677.3402546292273</v>
      </c>
    </row>
    <row r="27" spans="1:17" s="450" customFormat="1">
      <c r="A27" s="448" t="s">
        <v>553</v>
      </c>
      <c r="B27" s="748">
        <f t="shared" ca="1" si="2"/>
        <v>6.7096431968210393</v>
      </c>
      <c r="C27" s="449">
        <f t="shared" ca="1" si="3"/>
        <v>0</v>
      </c>
      <c r="D27" s="449">
        <f t="shared" si="4"/>
        <v>12.061641360014709</v>
      </c>
      <c r="E27" s="449">
        <f t="shared" si="5"/>
        <v>23.356817947968167</v>
      </c>
      <c r="F27" s="449">
        <f t="shared" si="6"/>
        <v>0</v>
      </c>
      <c r="G27" s="449">
        <f t="shared" si="7"/>
        <v>12079.935417978391</v>
      </c>
      <c r="H27" s="449">
        <f t="shared" si="8"/>
        <v>2378.1616870342154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14500.225207517411</v>
      </c>
    </row>
    <row r="28" spans="1:17">
      <c r="A28" s="444" t="s">
        <v>543</v>
      </c>
      <c r="B28" s="445">
        <f t="shared" ca="1" si="2"/>
        <v>3.8131027728116504</v>
      </c>
      <c r="C28" s="445">
        <f t="shared" ca="1" si="3"/>
        <v>0</v>
      </c>
      <c r="D28" s="445">
        <f t="shared" si="4"/>
        <v>0</v>
      </c>
      <c r="E28" s="445">
        <f t="shared" si="5"/>
        <v>0</v>
      </c>
      <c r="F28" s="445">
        <f t="shared" si="6"/>
        <v>0</v>
      </c>
      <c r="G28" s="445">
        <f t="shared" si="7"/>
        <v>458.60706066771746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462.42016344052911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117.32471018562158</v>
      </c>
      <c r="C32" s="445">
        <f t="shared" ca="1" si="3"/>
        <v>0</v>
      </c>
      <c r="D32" s="445">
        <f t="shared" si="4"/>
        <v>199.54623060745155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316.87094079307315</v>
      </c>
    </row>
    <row r="33" spans="1:17" s="454" customFormat="1">
      <c r="A33" s="999" t="s">
        <v>547</v>
      </c>
      <c r="B33" s="947">
        <f ca="1">SUM(B22:B32)</f>
        <v>12126.579586860606</v>
      </c>
      <c r="C33" s="947">
        <f t="shared" ref="C33:Q33" ca="1" si="18">SUM(C22:C32)</f>
        <v>0</v>
      </c>
      <c r="D33" s="947">
        <f t="shared" ca="1" si="18"/>
        <v>15366.563212141202</v>
      </c>
      <c r="E33" s="947">
        <f t="shared" si="18"/>
        <v>525.97484509400977</v>
      </c>
      <c r="F33" s="947">
        <f t="shared" ca="1" si="18"/>
        <v>11750.617725657892</v>
      </c>
      <c r="G33" s="947">
        <f t="shared" si="18"/>
        <v>12538.542478646108</v>
      </c>
      <c r="H33" s="947">
        <f t="shared" si="18"/>
        <v>2378.1616870342154</v>
      </c>
      <c r="I33" s="947">
        <f t="shared" si="18"/>
        <v>0</v>
      </c>
      <c r="J33" s="947">
        <f t="shared" si="18"/>
        <v>74.345874878896339</v>
      </c>
      <c r="K33" s="947">
        <f t="shared" si="18"/>
        <v>0</v>
      </c>
      <c r="L33" s="947">
        <f t="shared" ca="1" si="18"/>
        <v>0</v>
      </c>
      <c r="M33" s="947">
        <f t="shared" si="18"/>
        <v>0</v>
      </c>
      <c r="N33" s="947">
        <f t="shared" ca="1" si="18"/>
        <v>0</v>
      </c>
      <c r="O33" s="947">
        <f t="shared" si="18"/>
        <v>0</v>
      </c>
      <c r="P33" s="947">
        <f t="shared" si="18"/>
        <v>0</v>
      </c>
      <c r="Q33" s="947">
        <f t="shared" ca="1" si="18"/>
        <v>54760.785410312936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3277.0819465818886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3277.0819465818886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0.20854507296804434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0.20854507296804434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0.20854507296804434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0.20854507296804434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4829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476.83</v>
      </c>
      <c r="C14" s="324"/>
      <c r="D14" s="324"/>
      <c r="E14" s="324"/>
      <c r="F14" s="324"/>
    </row>
    <row r="15" spans="1:6">
      <c r="A15" s="1291" t="s">
        <v>183</v>
      </c>
      <c r="B15" s="1292">
        <v>2</v>
      </c>
      <c r="C15" s="324"/>
      <c r="D15" s="324"/>
      <c r="E15" s="324"/>
      <c r="F15" s="324"/>
    </row>
    <row r="16" spans="1:6">
      <c r="A16" s="1291" t="s">
        <v>6</v>
      </c>
      <c r="B16" s="1292">
        <v>135</v>
      </c>
      <c r="C16" s="324"/>
      <c r="D16" s="324"/>
      <c r="E16" s="324"/>
      <c r="F16" s="324"/>
    </row>
    <row r="17" spans="1:6">
      <c r="A17" s="1291" t="s">
        <v>7</v>
      </c>
      <c r="B17" s="1292">
        <v>46</v>
      </c>
      <c r="C17" s="324"/>
      <c r="D17" s="324"/>
      <c r="E17" s="324"/>
      <c r="F17" s="324"/>
    </row>
    <row r="18" spans="1:6">
      <c r="A18" s="1291" t="s">
        <v>8</v>
      </c>
      <c r="B18" s="1292">
        <v>99</v>
      </c>
      <c r="C18" s="324"/>
      <c r="D18" s="324"/>
      <c r="E18" s="324"/>
      <c r="F18" s="324"/>
    </row>
    <row r="19" spans="1:6">
      <c r="A19" s="1291" t="s">
        <v>9</v>
      </c>
      <c r="B19" s="1292">
        <v>77</v>
      </c>
      <c r="C19" s="324"/>
      <c r="D19" s="324"/>
      <c r="E19" s="324"/>
      <c r="F19" s="324"/>
    </row>
    <row r="20" spans="1:6">
      <c r="A20" s="1291" t="s">
        <v>10</v>
      </c>
      <c r="B20" s="1292">
        <v>56</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88</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13</v>
      </c>
      <c r="C29" s="330"/>
      <c r="D29" s="330"/>
      <c r="E29" s="330"/>
      <c r="F29" s="330"/>
    </row>
    <row r="30" spans="1:6">
      <c r="A30" s="1286" t="s">
        <v>723</v>
      </c>
      <c r="B30" s="1295">
        <v>22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6438</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4230</v>
      </c>
    </row>
    <row r="39" spans="1:6">
      <c r="A39" s="1291" t="s">
        <v>29</v>
      </c>
      <c r="B39" s="1291" t="s">
        <v>30</v>
      </c>
      <c r="C39" s="1292">
        <v>2294</v>
      </c>
      <c r="D39" s="1292">
        <v>41876708.410808198</v>
      </c>
      <c r="E39" s="1292">
        <v>4604</v>
      </c>
      <c r="F39" s="1292">
        <v>19897178.0949753</v>
      </c>
    </row>
    <row r="40" spans="1:6">
      <c r="A40" s="1291" t="s">
        <v>29</v>
      </c>
      <c r="B40" s="1291" t="s">
        <v>28</v>
      </c>
      <c r="C40" s="1292">
        <v>0</v>
      </c>
      <c r="D40" s="1292">
        <v>0</v>
      </c>
      <c r="E40" s="1292">
        <v>0</v>
      </c>
      <c r="F40" s="1292">
        <v>0</v>
      </c>
    </row>
    <row r="41" spans="1:6">
      <c r="A41" s="1291" t="s">
        <v>31</v>
      </c>
      <c r="B41" s="1291" t="s">
        <v>32</v>
      </c>
      <c r="C41" s="1292">
        <v>17</v>
      </c>
      <c r="D41" s="1292">
        <v>274346.88410158199</v>
      </c>
      <c r="E41" s="1292">
        <v>87</v>
      </c>
      <c r="F41" s="1292">
        <v>811648.08526740805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33698.555970105197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27</v>
      </c>
      <c r="D48" s="1292">
        <v>2157209.4142467999</v>
      </c>
      <c r="E48" s="1292">
        <v>56</v>
      </c>
      <c r="F48" s="1292">
        <v>2521060.73845786</v>
      </c>
    </row>
    <row r="49" spans="1:6">
      <c r="A49" s="1291" t="s">
        <v>31</v>
      </c>
      <c r="B49" s="1291" t="s">
        <v>39</v>
      </c>
      <c r="C49" s="1292">
        <v>0</v>
      </c>
      <c r="D49" s="1292">
        <v>0</v>
      </c>
      <c r="E49" s="1292">
        <v>0</v>
      </c>
      <c r="F49" s="1292">
        <v>0</v>
      </c>
    </row>
    <row r="50" spans="1:6">
      <c r="A50" s="1291" t="s">
        <v>31</v>
      </c>
      <c r="B50" s="1291" t="s">
        <v>40</v>
      </c>
      <c r="C50" s="1292">
        <v>5</v>
      </c>
      <c r="D50" s="1292">
        <v>25520846.711988602</v>
      </c>
      <c r="E50" s="1292">
        <v>11</v>
      </c>
      <c r="F50" s="1292">
        <v>10996471.798604799</v>
      </c>
    </row>
    <row r="51" spans="1:6">
      <c r="A51" s="1291" t="s">
        <v>41</v>
      </c>
      <c r="B51" s="1291" t="s">
        <v>42</v>
      </c>
      <c r="C51" s="1292">
        <v>0</v>
      </c>
      <c r="D51" s="1292">
        <v>0</v>
      </c>
      <c r="E51" s="1292">
        <v>3</v>
      </c>
      <c r="F51" s="1292">
        <v>12367.2168660975</v>
      </c>
    </row>
    <row r="52" spans="1:6">
      <c r="A52" s="1291" t="s">
        <v>41</v>
      </c>
      <c r="B52" s="1291" t="s">
        <v>28</v>
      </c>
      <c r="C52" s="1292">
        <v>3</v>
      </c>
      <c r="D52" s="1292">
        <v>45656.527219048403</v>
      </c>
      <c r="E52" s="1292">
        <v>15</v>
      </c>
      <c r="F52" s="1292">
        <v>101309.291214746</v>
      </c>
    </row>
    <row r="53" spans="1:6">
      <c r="A53" s="1291" t="s">
        <v>43</v>
      </c>
      <c r="B53" s="1291" t="s">
        <v>44</v>
      </c>
      <c r="C53" s="1292">
        <v>57</v>
      </c>
      <c r="D53" s="1292">
        <v>987852.62676956202</v>
      </c>
      <c r="E53" s="1292">
        <v>147</v>
      </c>
      <c r="F53" s="1292">
        <v>562586.82363404206</v>
      </c>
    </row>
    <row r="54" spans="1:6">
      <c r="A54" s="1291" t="s">
        <v>45</v>
      </c>
      <c r="B54" s="1291" t="s">
        <v>46</v>
      </c>
      <c r="C54" s="1292">
        <v>0</v>
      </c>
      <c r="D54" s="1292">
        <v>0</v>
      </c>
      <c r="E54" s="1292">
        <v>1</v>
      </c>
      <c r="F54" s="1292">
        <v>942279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395546.34647586598</v>
      </c>
      <c r="E57" s="1292">
        <v>36</v>
      </c>
      <c r="F57" s="1292">
        <v>333248.36726638</v>
      </c>
    </row>
    <row r="58" spans="1:6">
      <c r="A58" s="1291" t="s">
        <v>48</v>
      </c>
      <c r="B58" s="1291" t="s">
        <v>50</v>
      </c>
      <c r="C58" s="1292">
        <v>6</v>
      </c>
      <c r="D58" s="1292">
        <v>204443.22415096301</v>
      </c>
      <c r="E58" s="1292">
        <v>14</v>
      </c>
      <c r="F58" s="1292">
        <v>102254.248442507</v>
      </c>
    </row>
    <row r="59" spans="1:6">
      <c r="A59" s="1291" t="s">
        <v>48</v>
      </c>
      <c r="B59" s="1291" t="s">
        <v>51</v>
      </c>
      <c r="C59" s="1292">
        <v>29</v>
      </c>
      <c r="D59" s="1292">
        <v>1924900.96415703</v>
      </c>
      <c r="E59" s="1292">
        <v>101</v>
      </c>
      <c r="F59" s="1292">
        <v>4654562.6921238899</v>
      </c>
    </row>
    <row r="60" spans="1:6">
      <c r="A60" s="1291" t="s">
        <v>48</v>
      </c>
      <c r="B60" s="1291" t="s">
        <v>52</v>
      </c>
      <c r="C60" s="1292">
        <v>17</v>
      </c>
      <c r="D60" s="1292">
        <v>653662.67471537995</v>
      </c>
      <c r="E60" s="1292">
        <v>33</v>
      </c>
      <c r="F60" s="1292">
        <v>872946.76493236702</v>
      </c>
    </row>
    <row r="61" spans="1:6">
      <c r="A61" s="1291" t="s">
        <v>48</v>
      </c>
      <c r="B61" s="1291" t="s">
        <v>53</v>
      </c>
      <c r="C61" s="1292">
        <v>46</v>
      </c>
      <c r="D61" s="1292">
        <v>2683350.24194028</v>
      </c>
      <c r="E61" s="1292">
        <v>163</v>
      </c>
      <c r="F61" s="1292">
        <v>4136054.4894059598</v>
      </c>
    </row>
    <row r="62" spans="1:6">
      <c r="A62" s="1291" t="s">
        <v>48</v>
      </c>
      <c r="B62" s="1291" t="s">
        <v>54</v>
      </c>
      <c r="C62" s="1292">
        <v>0</v>
      </c>
      <c r="D62" s="1292">
        <v>0</v>
      </c>
      <c r="E62" s="1292">
        <v>5</v>
      </c>
      <c r="F62" s="1292">
        <v>29249.210121468299</v>
      </c>
    </row>
    <row r="63" spans="1:6">
      <c r="A63" s="1291" t="s">
        <v>48</v>
      </c>
      <c r="B63" s="1291" t="s">
        <v>28</v>
      </c>
      <c r="C63" s="1292">
        <v>111</v>
      </c>
      <c r="D63" s="1292">
        <v>7439084.0181548903</v>
      </c>
      <c r="E63" s="1292">
        <v>180</v>
      </c>
      <c r="F63" s="1292">
        <v>9283290.6932887398</v>
      </c>
    </row>
    <row r="64" spans="1:6">
      <c r="A64" s="1291" t="s">
        <v>55</v>
      </c>
      <c r="B64" s="1291" t="s">
        <v>56</v>
      </c>
      <c r="C64" s="1292">
        <v>0</v>
      </c>
      <c r="D64" s="1292">
        <v>0</v>
      </c>
      <c r="E64" s="1292">
        <v>0</v>
      </c>
      <c r="F64" s="1292">
        <v>0</v>
      </c>
    </row>
    <row r="65" spans="1:6">
      <c r="A65" s="1291" t="s">
        <v>55</v>
      </c>
      <c r="B65" s="1291" t="s">
        <v>28</v>
      </c>
      <c r="C65" s="1292">
        <v>2</v>
      </c>
      <c r="D65" s="1292">
        <v>60035.297984212099</v>
      </c>
      <c r="E65" s="1292">
        <v>5</v>
      </c>
      <c r="F65" s="1292">
        <v>36763.567397935003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72077.345632588505</v>
      </c>
      <c r="E68" s="1295">
        <v>13</v>
      </c>
      <c r="F68" s="1295">
        <v>172263.41441997801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37415783</v>
      </c>
      <c r="E73" s="443"/>
      <c r="F73" s="324"/>
    </row>
    <row r="74" spans="1:6">
      <c r="A74" s="1291" t="s">
        <v>63</v>
      </c>
      <c r="B74" s="1291" t="s">
        <v>648</v>
      </c>
      <c r="C74" s="1305" t="s">
        <v>650</v>
      </c>
      <c r="D74" s="1306">
        <v>4425989</v>
      </c>
      <c r="E74" s="443"/>
      <c r="F74" s="324"/>
    </row>
    <row r="75" spans="1:6">
      <c r="A75" s="1291" t="s">
        <v>64</v>
      </c>
      <c r="B75" s="1291" t="s">
        <v>647</v>
      </c>
      <c r="C75" s="1305" t="s">
        <v>651</v>
      </c>
      <c r="D75" s="1306">
        <v>20924346</v>
      </c>
      <c r="E75" s="443"/>
      <c r="F75" s="324"/>
    </row>
    <row r="76" spans="1:6">
      <c r="A76" s="1291" t="s">
        <v>64</v>
      </c>
      <c r="B76" s="1291" t="s">
        <v>648</v>
      </c>
      <c r="C76" s="1305" t="s">
        <v>652</v>
      </c>
      <c r="D76" s="1306">
        <v>1249160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499048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2807.81882377592</v>
      </c>
      <c r="C91" s="324"/>
      <c r="D91" s="324"/>
      <c r="E91" s="324"/>
      <c r="F91" s="324"/>
    </row>
    <row r="92" spans="1:6">
      <c r="A92" s="1286" t="s">
        <v>68</v>
      </c>
      <c r="B92" s="1287">
        <v>469.26312280596841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711</v>
      </c>
      <c r="C97" s="324"/>
      <c r="D97" s="324"/>
      <c r="E97" s="324"/>
      <c r="F97" s="324"/>
    </row>
    <row r="98" spans="1:6">
      <c r="A98" s="1291" t="s">
        <v>71</v>
      </c>
      <c r="B98" s="1292">
        <v>4</v>
      </c>
      <c r="C98" s="324"/>
      <c r="D98" s="324"/>
      <c r="E98" s="324"/>
      <c r="F98" s="324"/>
    </row>
    <row r="99" spans="1:6">
      <c r="A99" s="1291" t="s">
        <v>72</v>
      </c>
      <c r="B99" s="1292">
        <v>119</v>
      </c>
      <c r="C99" s="324"/>
      <c r="D99" s="324"/>
      <c r="E99" s="324"/>
      <c r="F99" s="324"/>
    </row>
    <row r="100" spans="1:6">
      <c r="A100" s="1291" t="s">
        <v>73</v>
      </c>
      <c r="B100" s="1292">
        <v>440</v>
      </c>
      <c r="C100" s="324"/>
      <c r="D100" s="324"/>
      <c r="E100" s="324"/>
      <c r="F100" s="324"/>
    </row>
    <row r="101" spans="1:6">
      <c r="A101" s="1291" t="s">
        <v>74</v>
      </c>
      <c r="B101" s="1292">
        <v>26</v>
      </c>
      <c r="C101" s="324"/>
      <c r="D101" s="324"/>
      <c r="E101" s="324"/>
      <c r="F101" s="324"/>
    </row>
    <row r="102" spans="1:6">
      <c r="A102" s="1291" t="s">
        <v>75</v>
      </c>
      <c r="B102" s="1292">
        <v>57</v>
      </c>
      <c r="C102" s="324"/>
      <c r="D102" s="324"/>
      <c r="E102" s="324"/>
      <c r="F102" s="324"/>
    </row>
    <row r="103" spans="1:6">
      <c r="A103" s="1291" t="s">
        <v>76</v>
      </c>
      <c r="B103" s="1292">
        <v>100</v>
      </c>
      <c r="C103" s="324"/>
      <c r="D103" s="324"/>
      <c r="E103" s="324"/>
      <c r="F103" s="324"/>
    </row>
    <row r="104" spans="1:6">
      <c r="A104" s="1291" t="s">
        <v>77</v>
      </c>
      <c r="B104" s="1292">
        <v>2747</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27</v>
      </c>
      <c r="C123" s="1292">
        <v>25</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123</v>
      </c>
      <c r="C129" s="324"/>
      <c r="D129" s="324"/>
      <c r="E129" s="324"/>
      <c r="F129" s="324"/>
    </row>
    <row r="130" spans="1:6">
      <c r="A130" s="1291" t="s">
        <v>289</v>
      </c>
      <c r="B130" s="1292">
        <v>1</v>
      </c>
      <c r="C130" s="324"/>
      <c r="D130" s="324"/>
      <c r="E130" s="324"/>
      <c r="F130" s="324"/>
    </row>
    <row r="131" spans="1:6">
      <c r="A131" s="1291" t="s">
        <v>290</v>
      </c>
      <c r="B131" s="1292">
        <v>2</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58148.482792104995</v>
      </c>
      <c r="C3" s="43" t="s">
        <v>169</v>
      </c>
      <c r="D3" s="43"/>
      <c r="E3" s="154"/>
      <c r="F3" s="43"/>
      <c r="G3" s="43"/>
      <c r="H3" s="43"/>
      <c r="I3" s="43"/>
      <c r="J3" s="43"/>
      <c r="K3" s="96"/>
    </row>
    <row r="4" spans="1:11">
      <c r="A4" s="352" t="s">
        <v>170</v>
      </c>
      <c r="B4" s="49">
        <f>IF(ISERROR('SEAP template'!B78+'SEAP template'!C78),0,'SEAP template'!B78+'SEAP template'!C78)</f>
        <v>3277.0819465818886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0.20854507296804434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942.279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0.20854507296804434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196.50764281125586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19897.178094975301</v>
      </c>
      <c r="C5" s="17">
        <f>IF(ISERROR('Eigen informatie GS &amp; warmtenet'!B57),0,'Eigen informatie GS &amp; warmtenet'!B57)</f>
        <v>0</v>
      </c>
      <c r="D5" s="30">
        <f>(SUM(HH_hh_gas_kWh,HH_rest_gas_kWh)/1000)*0.902</f>
        <v>37772.790986548993</v>
      </c>
      <c r="E5" s="17">
        <f>B32*B41</f>
        <v>1513.3272446917733</v>
      </c>
      <c r="F5" s="17">
        <f>B36*B45</f>
        <v>38340.928862319452</v>
      </c>
      <c r="G5" s="18"/>
      <c r="H5" s="17"/>
      <c r="I5" s="17"/>
      <c r="J5" s="17">
        <f>B35*B44+C35*C44</f>
        <v>184.49224817056421</v>
      </c>
      <c r="K5" s="17"/>
      <c r="L5" s="17"/>
      <c r="M5" s="17"/>
      <c r="N5" s="17">
        <f>B34*B43+C34*C43</f>
        <v>7408.4545135436128</v>
      </c>
      <c r="O5" s="17">
        <f>B52*B53*B54</f>
        <v>232.9366666666667</v>
      </c>
      <c r="P5" s="17">
        <f>B60*B61*B62/1000-B60*B61*B62/1000/B63</f>
        <v>915.2</v>
      </c>
    </row>
    <row r="6" spans="1:16">
      <c r="A6" s="16" t="s">
        <v>613</v>
      </c>
      <c r="B6" s="756">
        <f>kWh_PV_kleiner_dan_10kW</f>
        <v>2807.81882377592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22704.996918751222</v>
      </c>
      <c r="C8" s="21">
        <f>C5</f>
        <v>0</v>
      </c>
      <c r="D8" s="21">
        <f>D5</f>
        <v>37772.790986548993</v>
      </c>
      <c r="E8" s="21">
        <f>E5</f>
        <v>1513.3272446917733</v>
      </c>
      <c r="F8" s="21">
        <f>F5</f>
        <v>38340.928862319452</v>
      </c>
      <c r="G8" s="21"/>
      <c r="H8" s="21"/>
      <c r="I8" s="21"/>
      <c r="J8" s="21">
        <f>J5</f>
        <v>184.49224817056421</v>
      </c>
      <c r="K8" s="21"/>
      <c r="L8" s="21">
        <f>L5</f>
        <v>0</v>
      </c>
      <c r="M8" s="21">
        <f>M5</f>
        <v>0</v>
      </c>
      <c r="N8" s="21">
        <f>N5</f>
        <v>7408.4545135436128</v>
      </c>
      <c r="O8" s="21">
        <f>O5</f>
        <v>232.9366666666667</v>
      </c>
      <c r="P8" s="21">
        <f>P5</f>
        <v>915.2</v>
      </c>
    </row>
    <row r="9" spans="1:16">
      <c r="B9" s="19"/>
      <c r="C9" s="19"/>
      <c r="D9" s="254"/>
      <c r="E9" s="19"/>
      <c r="F9" s="19"/>
      <c r="G9" s="19"/>
      <c r="H9" s="19"/>
      <c r="I9" s="19"/>
      <c r="J9" s="19"/>
      <c r="K9" s="19"/>
      <c r="L9" s="19"/>
      <c r="M9" s="19"/>
      <c r="N9" s="19"/>
      <c r="O9" s="19"/>
      <c r="P9" s="19"/>
    </row>
    <row r="10" spans="1:16">
      <c r="A10" s="24" t="s">
        <v>213</v>
      </c>
      <c r="B10" s="25">
        <f ca="1">'EF ele_warmte'!B12</f>
        <v>0.20854507296804434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4735.0152391601951</v>
      </c>
      <c r="C12" s="23">
        <f ca="1">C10*C8</f>
        <v>0</v>
      </c>
      <c r="D12" s="23">
        <f>D8*D10</f>
        <v>7630.1037792828974</v>
      </c>
      <c r="E12" s="23">
        <f>E10*E8</f>
        <v>343.52528454503255</v>
      </c>
      <c r="F12" s="23">
        <f>F10*F8</f>
        <v>10237.028006239294</v>
      </c>
      <c r="G12" s="23"/>
      <c r="H12" s="23"/>
      <c r="I12" s="23"/>
      <c r="J12" s="23">
        <f>J10*J8</f>
        <v>65.310255852379726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4829</v>
      </c>
      <c r="C26" s="36"/>
      <c r="D26" s="225"/>
    </row>
    <row r="27" spans="1:5" s="15" customFormat="1">
      <c r="A27" s="227" t="s">
        <v>768</v>
      </c>
      <c r="B27" s="37">
        <f>SUM(HH_hh_gas_aantal,HH_rest_gas_aantal)</f>
        <v>2294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2179.3000000000002</v>
      </c>
      <c r="C31" s="34" t="s">
        <v>110</v>
      </c>
      <c r="D31" s="171"/>
    </row>
    <row r="32" spans="1:5">
      <c r="A32" s="168" t="s">
        <v>72</v>
      </c>
      <c r="B32" s="33">
        <f>IF((B21*($B$26-($B$27-0.05*$B$27)-$B$60))&lt;0,0,B21*($B$26-($B$27-0.05*$B$27)-$B$60))</f>
        <v>28.619986018718627</v>
      </c>
      <c r="C32" s="34" t="s">
        <v>110</v>
      </c>
      <c r="D32" s="171"/>
    </row>
    <row r="33" spans="1:6">
      <c r="A33" s="168" t="s">
        <v>73</v>
      </c>
      <c r="B33" s="33">
        <f>IF((B22*($B$26-($B$27-0.05*$B$27)-$B$60))&lt;0,0,B22*($B$26-($B$27-0.05*$B$27)-$B$60))</f>
        <v>595.0335435143104</v>
      </c>
      <c r="C33" s="34" t="s">
        <v>110</v>
      </c>
      <c r="D33" s="171"/>
    </row>
    <row r="34" spans="1:6">
      <c r="A34" s="168" t="s">
        <v>74</v>
      </c>
      <c r="B34" s="33">
        <f>IF((B24*($B$26-($B$27-0.05*$B$27)-$B$60))&lt;0,0,B24*($B$26-($B$27-0.05*$B$27)-$B$60))</f>
        <v>118.33101875124896</v>
      </c>
      <c r="C34" s="33">
        <f>B26*C24</f>
        <v>988.47482124279452</v>
      </c>
      <c r="D34" s="230"/>
    </row>
    <row r="35" spans="1:6">
      <c r="A35" s="168" t="s">
        <v>76</v>
      </c>
      <c r="B35" s="33">
        <f>IF((B19*($B$26-($B$27-0.05*$B$27)-$B$60))&lt;0,0,B19*($B$26-($B$27-0.05*$B$27)-$B$60))</f>
        <v>21.66224330368798</v>
      </c>
      <c r="C35" s="33">
        <f>B35/2</f>
        <v>10.83112165184399</v>
      </c>
      <c r="D35" s="230"/>
    </row>
    <row r="36" spans="1:6">
      <c r="A36" s="168" t="s">
        <v>77</v>
      </c>
      <c r="B36" s="33">
        <f>IF((B18*($B$26-($B$27-0.05*$B$27)-$B$60))&lt;0,0,B18*($B$26-($B$27-0.05*$B$27)-$B$60))</f>
        <v>1838.0532084120339</v>
      </c>
      <c r="C36" s="34" t="s">
        <v>110</v>
      </c>
      <c r="D36" s="171"/>
    </row>
    <row r="37" spans="1:6">
      <c r="A37" s="168" t="s">
        <v>78</v>
      </c>
      <c r="B37" s="33">
        <f>B60</f>
        <v>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53</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52</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51</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50</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49</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54</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254</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0.20854507296804434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4048.1948867916153</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4136.0544894059594</v>
      </c>
      <c r="C26" s="39">
        <f>IF(ISERROR(B26*3.6/1000000/'E Balans VL '!Z12*100),0,B26*3.6/1000000/'E Balans VL '!Z12*100)</f>
        <v>8.7429639866489314E-2</v>
      </c>
      <c r="D26" s="233" t="s">
        <v>732</v>
      </c>
      <c r="F26" s="6"/>
    </row>
    <row r="27" spans="1:18">
      <c r="A27" s="228" t="s">
        <v>52</v>
      </c>
      <c r="B27" s="33">
        <f>IF(ISERROR(TER_horeca_ele_kWh/1000),0,TER_horeca_ele_kWh/1000)</f>
        <v>872.94676493236705</v>
      </c>
      <c r="C27" s="39">
        <f>IF(ISERROR(B27*3.6/1000000/'E Balans VL '!Z9*100),0,B27*3.6/1000000/'E Balans VL '!Z9*100)</f>
        <v>6.8814068115748778E-2</v>
      </c>
      <c r="D27" s="233" t="s">
        <v>732</v>
      </c>
      <c r="F27" s="6"/>
    </row>
    <row r="28" spans="1:18">
      <c r="A28" s="168" t="s">
        <v>51</v>
      </c>
      <c r="B28" s="33">
        <f>IF(ISERROR(TER_handel_ele_kWh/1000),0,TER_handel_ele_kWh/1000)</f>
        <v>4654.56269212389</v>
      </c>
      <c r="C28" s="39">
        <f>IF(ISERROR(B28*3.6/1000000/'E Balans VL '!Z13*100),0,B28*3.6/1000000/'E Balans VL '!Z13*100)</f>
        <v>0.13509421586609915</v>
      </c>
      <c r="D28" s="233" t="s">
        <v>732</v>
      </c>
      <c r="F28" s="6"/>
    </row>
    <row r="29" spans="1:18">
      <c r="A29" s="228" t="s">
        <v>50</v>
      </c>
      <c r="B29" s="33">
        <f>IF(ISERROR(TER_gezond_ele_kWh/1000),0,TER_gezond_ele_kWh/1000)</f>
        <v>102.25424844250701</v>
      </c>
      <c r="C29" s="39">
        <f>IF(ISERROR(B29*3.6/1000000/'E Balans VL '!Z10*100),0,B29*3.6/1000000/'E Balans VL '!Z10*100)</f>
        <v>1.0769051420076083E-2</v>
      </c>
      <c r="D29" s="233" t="s">
        <v>732</v>
      </c>
      <c r="F29" s="6"/>
    </row>
    <row r="30" spans="1:18">
      <c r="A30" s="228" t="s">
        <v>49</v>
      </c>
      <c r="B30" s="33">
        <f>IF(ISERROR(TER_ander_ele_kWh/1000),0,TER_ander_ele_kWh/1000)</f>
        <v>333.24836726638</v>
      </c>
      <c r="C30" s="39">
        <f>IF(ISERROR(B30*3.6/1000000/'E Balans VL '!Z14*100),0,B30*3.6/1000000/'E Balans VL '!Z14*100)</f>
        <v>2.4580471950753507E-2</v>
      </c>
      <c r="D30" s="233" t="s">
        <v>732</v>
      </c>
      <c r="F30" s="6"/>
    </row>
    <row r="31" spans="1:18">
      <c r="A31" s="228" t="s">
        <v>54</v>
      </c>
      <c r="B31" s="33">
        <f>IF(ISERROR(TER_onderwijs_ele_kWh/1000),0,TER_onderwijs_ele_kWh/1000)</f>
        <v>29.249210121468298</v>
      </c>
      <c r="C31" s="39">
        <f>IF(ISERROR(B31*3.6/1000000/'E Balans VL '!Z11*100),0,B31*3.6/1000000/'E Balans VL '!Z11*100)</f>
        <v>7.2639489868514843E-3</v>
      </c>
      <c r="D31" s="233" t="s">
        <v>732</v>
      </c>
    </row>
    <row r="32" spans="1:18">
      <c r="A32" s="228" t="s">
        <v>254</v>
      </c>
      <c r="B32" s="33">
        <f>IF(ISERROR(TER_rest_ele_kWh/1000),0,TER_rest_ele_kWh/1000)</f>
        <v>9283.2906932887399</v>
      </c>
      <c r="C32" s="39">
        <f>IF(ISERROR(B32*3.6/1000000/'E Balans VL '!Z8*100),0,B32*3.6/1000000/'E Balans VL '!Z8*100)</f>
        <v>7.6389160089966907E-2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999.97524477873947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32</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63.664573453212576</v>
      </c>
      <c r="O9" s="33"/>
      <c r="P9" s="33"/>
      <c r="R9" s="32"/>
    </row>
    <row r="10" spans="1:18">
      <c r="A10" s="6" t="s">
        <v>40</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176.96483579642566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999.97524477873947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0.20854507296804434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2995.307686269814</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33.698555970105197</v>
      </c>
      <c r="C30" s="39">
        <f>IF(ISERROR(B30*3.6/1000000/'E Balans VL '!Z18*100),0,B30*3.6/1000000/'E Balans VL '!Z18*100)</f>
        <v>1.9097835755749191E-3</v>
      </c>
      <c r="D30" s="233" t="s">
        <v>732</v>
      </c>
    </row>
    <row r="31" spans="1:18">
      <c r="A31" s="6" t="s">
        <v>32</v>
      </c>
      <c r="B31" s="37">
        <f>IF( ISERROR(IND_ander_ele_kWh/1000),0,IND_ander_ele_kWh/1000)</f>
        <v>811.64808526740808</v>
      </c>
      <c r="C31" s="39">
        <f>IF(ISERROR(B31*3.6/1000000/'E Balans VL '!Z19*100),0,B31*3.6/1000000/'E Balans VL '!Z19*100)</f>
        <v>3.6812977503924246E-2</v>
      </c>
      <c r="D31" s="233" t="s">
        <v>732</v>
      </c>
    </row>
    <row r="32" spans="1:18">
      <c r="A32" s="168" t="s">
        <v>40</v>
      </c>
      <c r="B32" s="37">
        <f>IF( ISERROR(IND_voed_ele_kWh/1000),0,IND_voed_ele_kWh/1000)</f>
        <v>10996.4717986048</v>
      </c>
      <c r="C32" s="39">
        <f>IF(ISERROR(B32*3.6/1000000/'E Balans VL '!Z20*100),0,B32*3.6/1000000/'E Balans VL '!Z20*100)</f>
        <v>0.34017079249781196</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2521.0607384578598</v>
      </c>
      <c r="C37" s="39">
        <f>IF(ISERROR(B37*3.6/1000000/'E Balans VL '!Z15*100),0,B37*3.6/1000000/'E Balans VL '!Z15*100)</f>
        <v>1.9982502509324804E-2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113.6765080808435</v>
      </c>
      <c r="C5" s="17">
        <f>'Eigen informatie GS &amp; warmtenet'!B60</f>
        <v>0</v>
      </c>
      <c r="D5" s="30">
        <f>IF(ISERROR(SUM(LB_lb_gas_kWh,LB_rest_gas_kWh)/1000),0,SUM(LB_lb_gas_kWh,LB_rest_gas_kWh)/1000)*0.902</f>
        <v>41.182187551581656</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113.6765080808435</v>
      </c>
      <c r="C8" s="21">
        <f>C5+C6</f>
        <v>0</v>
      </c>
      <c r="D8" s="21">
        <f>MAX((D5+D6),0)</f>
        <v>41.182187551581656</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0.20854507296804434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23.706675672471992</v>
      </c>
      <c r="C12" s="23">
        <f ca="1">C8*C10</f>
        <v>0</v>
      </c>
      <c r="D12" s="23">
        <f>D8*D10</f>
        <v>8.3188018854194947</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1.6131053145839108E-2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30.879053408940443</v>
      </c>
      <c r="C26" s="243">
        <f>B26*'GWP N2O_CH4'!B5</f>
        <v>648.46012158774931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5.165950253035926</v>
      </c>
      <c r="C27" s="243">
        <f>B27*'GWP N2O_CH4'!B5</f>
        <v>108.48495531375444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3">
        <f>B28*'GWP N2O_CH4'!B4</f>
        <v>117.07800779013097</v>
      </c>
      <c r="D28" s="50"/>
    </row>
    <row r="29" spans="1:4">
      <c r="A29" s="41" t="s">
        <v>271</v>
      </c>
      <c r="B29" s="243">
        <f>B34*'ha_N2O bodem landbouw'!B4</f>
        <v>3.1023706027887292</v>
      </c>
      <c r="C29" s="243">
        <f>B29*'GWP N2O_CH4'!B4</f>
        <v>961.73488686450605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7.0795028031166857E-4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1.1582491575937161E-4</v>
      </c>
      <c r="C5" s="431" t="s">
        <v>210</v>
      </c>
      <c r="D5" s="416">
        <f>SUM(D6:D11)</f>
        <v>2.1495994502996512E-4</v>
      </c>
      <c r="E5" s="416">
        <f>SUM(E6:E11)</f>
        <v>3.7041649609112514E-4</v>
      </c>
      <c r="F5" s="429" t="s">
        <v>210</v>
      </c>
      <c r="G5" s="416">
        <f>SUM(G6:G11)</f>
        <v>0.16287553372555133</v>
      </c>
      <c r="H5" s="416">
        <f>SUM(H6:H11)</f>
        <v>3.438306053543444E-2</v>
      </c>
      <c r="I5" s="431" t="s">
        <v>210</v>
      </c>
      <c r="J5" s="431" t="s">
        <v>210</v>
      </c>
      <c r="K5" s="431" t="s">
        <v>210</v>
      </c>
      <c r="L5" s="431" t="s">
        <v>210</v>
      </c>
      <c r="M5" s="416">
        <f>SUM(M6:M11)</f>
        <v>1.0528320927981588E-2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6.5629009524337839E-5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1.1033390582617702E-4</v>
      </c>
      <c r="E6" s="859">
        <f>vkm_GW_PW*SUMIFS(TableVerdeelsleutelVkm[LPG],TableVerdeelsleutelVkm[Voertuigtype],"Lichte voertuigen")*SUMIFS(TableECFTransport[EnergieConsumptieFactor (PJ per km)],TableECFTransport[Index],CONCATENATE($A6,"_LPG_LPG"))</f>
        <v>1.941334525096196E-4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5.7598833275493116E-2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1.7825943345576752E-2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3.8900476719960337E-3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1.2945372824950537E-6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4.1581079410653352E-2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6.7841970701715915E-7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2.4293971792566072E-3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4.8536007856566381E-5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1.0462603920378809E-4</v>
      </c>
      <c r="E8" s="419">
        <f>vkm_NGW_PW*SUMIFS(TableVerdeelsleutelVkm[LPG],TableVerdeelsleutelVkm[Voertuigtype],"Lichte voertuigen")*SUMIFS(TableECFTransport[EnergieConsumptieFactor (PJ per km)],TableECFTransport[Index],CONCATENATE($A8,"_LPG_LPG"))</f>
        <v>1.7628304358150557E-4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4.8638131700065167E-2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1.6556207658073974E-2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3.3291345014330159E-3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3.6536109597234002E-7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1.5057489339339697E-2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2.3111207669969191E-7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8.7974157529593282E-4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32.173587710936559</v>
      </c>
      <c r="C14" s="21"/>
      <c r="D14" s="21">
        <f t="shared" ref="D14:M14" si="0">((D5)*10^9/3600)+D12</f>
        <v>59.711095841656977</v>
      </c>
      <c r="E14" s="21">
        <f t="shared" si="0"/>
        <v>102.89347113642364</v>
      </c>
      <c r="F14" s="21"/>
      <c r="G14" s="21">
        <f t="shared" si="0"/>
        <v>45243.203812653148</v>
      </c>
      <c r="H14" s="21">
        <f t="shared" si="0"/>
        <v>9550.8501487317881</v>
      </c>
      <c r="I14" s="21"/>
      <c r="J14" s="21"/>
      <c r="K14" s="21"/>
      <c r="L14" s="21"/>
      <c r="M14" s="21">
        <f t="shared" si="0"/>
        <v>2924.5335911059969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0.20854507296804434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6.7096431968210393</v>
      </c>
      <c r="C18" s="23"/>
      <c r="D18" s="23">
        <f t="shared" ref="D18:M18" si="1">D14*D16</f>
        <v>12.061641360014709</v>
      </c>
      <c r="E18" s="23">
        <f t="shared" si="1"/>
        <v>23.356817947968167</v>
      </c>
      <c r="F18" s="23"/>
      <c r="G18" s="23">
        <f t="shared" si="1"/>
        <v>12079.935417978391</v>
      </c>
      <c r="H18" s="23">
        <f t="shared" si="1"/>
        <v>2378.1616870342154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6.5823516167295764E-5</v>
      </c>
      <c r="C50" s="313">
        <f t="shared" ref="C50:P50" si="2">SUM(C51:C52)</f>
        <v>0</v>
      </c>
      <c r="D50" s="313">
        <f t="shared" si="2"/>
        <v>0</v>
      </c>
      <c r="E50" s="313">
        <f t="shared" si="2"/>
        <v>0</v>
      </c>
      <c r="F50" s="313">
        <f t="shared" si="2"/>
        <v>0</v>
      </c>
      <c r="G50" s="313">
        <f t="shared" si="2"/>
        <v>6.1834659865310218E-3</v>
      </c>
      <c r="H50" s="313">
        <f t="shared" si="2"/>
        <v>0</v>
      </c>
      <c r="I50" s="313">
        <f t="shared" si="2"/>
        <v>0</v>
      </c>
      <c r="J50" s="313">
        <f t="shared" si="2"/>
        <v>0</v>
      </c>
      <c r="K50" s="313">
        <f t="shared" si="2"/>
        <v>0</v>
      </c>
      <c r="L50" s="313">
        <f t="shared" si="2"/>
        <v>0</v>
      </c>
      <c r="M50" s="313">
        <f t="shared" si="2"/>
        <v>3.5608724020860094E-4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6.5823516167295764E-5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6.1834659865310218E-3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3.5608724020860094E-4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18.284310046471045</v>
      </c>
      <c r="C54" s="21">
        <f t="shared" ref="C54:P54" si="3">(C50)*10^9/3600</f>
        <v>0</v>
      </c>
      <c r="D54" s="21">
        <f t="shared" si="3"/>
        <v>0</v>
      </c>
      <c r="E54" s="21">
        <f t="shared" si="3"/>
        <v>0</v>
      </c>
      <c r="F54" s="21">
        <f t="shared" si="3"/>
        <v>0</v>
      </c>
      <c r="G54" s="21">
        <f t="shared" si="3"/>
        <v>1717.6294407030616</v>
      </c>
      <c r="H54" s="21">
        <f t="shared" si="3"/>
        <v>0</v>
      </c>
      <c r="I54" s="21">
        <f t="shared" si="3"/>
        <v>0</v>
      </c>
      <c r="J54" s="21">
        <f t="shared" si="3"/>
        <v>0</v>
      </c>
      <c r="K54" s="21">
        <f t="shared" si="3"/>
        <v>0</v>
      </c>
      <c r="L54" s="21">
        <f t="shared" si="3"/>
        <v>0</v>
      </c>
      <c r="M54" s="21">
        <f t="shared" si="3"/>
        <v>98.913122280166931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0.20854507296804434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3.8131027728116504</v>
      </c>
      <c r="C58" s="23">
        <f t="shared" ref="C58:P58" ca="1" si="4">C54*C56</f>
        <v>0</v>
      </c>
      <c r="D58" s="23">
        <f t="shared" si="4"/>
        <v>0</v>
      </c>
      <c r="E58" s="23">
        <f t="shared" si="4"/>
        <v>0</v>
      </c>
      <c r="F58" s="23">
        <f t="shared" si="4"/>
        <v>0</v>
      </c>
      <c r="G58" s="23">
        <f t="shared" si="4"/>
        <v>458.60706066771746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3277.0819465818886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3277.0819465818886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2021-06-29T15:39:14Z</dcterms:modified>
</cp:coreProperties>
</file>