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C6" i="17"/>
  <c r="F13" i="15"/>
  <c r="B8" i="18"/>
  <c r="B10" i="18" s="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<sst xmlns="http://schemas.openxmlformats.org/spreadsheetml/2006/main" count="2476" uniqueCount="902">
  <si>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</si>
  <si>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</si>
  <si>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</si>
  <si>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</si>
  <si>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</si>
  <si>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</si>
  <si>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</si>
  <si>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</si>
  <si>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</si>
  <si>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</si>
  <si>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</si>
  <si>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</si>
  <si>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</si>
  <si>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</si>
  <si>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</si>
  <si>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</si>
  <si>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</si>
  <si>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</si>
  <si>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</si>
  <si>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</si>
  <si>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</si>
  <si>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</si>
  <si>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</si>
  <si>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</si>
  <si>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</si>
  <si>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</si>
  <si>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</si>
  <si>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</si>
  <si>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</si>
  <si>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</si>
  <si>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</si>
  <si>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</si>
  <si>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</si>
  <si>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</si>
  <si>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</si>
  <si>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</si>
  <si>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</si>
  <si>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</si>
  <si>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</si>
  <si>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</si>
  <si>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</si>
  <si>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</si>
  <si>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</si>
  <si>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</si>
  <si>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</si>
  <si>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</si>
  <si>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</si>
  <si>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</si>
  <si>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</si>
  <si>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</si>
  <si>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</si>
  <si>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</si>
  <si>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</si>
  <si>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</si>
  <si>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</si>
  <si>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</si>
  <si>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</si>
  <si>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</si>
  <si>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</si>
  <si>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</si>
  <si>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</si>
  <si>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</si>
  <si>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</si>
  <si>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</si>
  <si>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</si>
  <si>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</si>
  <si>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</si>
  <si>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</si>
  <si>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</si>
  <si>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</si>
  <si>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</si>
  <si>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</si>
  <si>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</si>
  <si>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</si>
  <si>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</si>
  <si>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</si>
  <si>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</si>
  <si>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</si>
  <si>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</si>
  <si>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</si>
  <si>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</si>
  <si>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</si>
  <si>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</si>
  <si>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</si>
  <si>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</si>
  <si>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</si>
  <si>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</si>
  <si>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</si>
  <si>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</si>
  <si>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</si>
  <si>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</si>
  <si>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</si>
  <si>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</si>
  <si>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</si>
  <si>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</si>
  <si>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</si>
  <si>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</si>
  <si>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</si>
  <si>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</si>
  <si>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</si>
  <si>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</si>
  <si>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</si>
  <si>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</si>
  <si>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</si>
  <si>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</si>
  <si>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</si>
  <si>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</si>
  <si>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</si>
  <si>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</si>
  <si>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</si>
  <si>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</si>
  <si>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</si>
  <si>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</si>
  <si>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</si>
  <si>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</si>
  <si>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</si>
  <si>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</si>
  <si>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</si>
  <si>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</si>
  <si>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</si>
  <si>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</si>
  <si>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</si>
  <si>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</si>
  <si>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</si>
  <si>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</si>
  <si>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</si>
  <si>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</si>
  <si>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</si>
  <si>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</si>
  <si>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</si>
  <si>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</si>
  <si>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</si>
  <si>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</si>
  <si>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</si>
  <si>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</si>
  <si>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</si>
  <si>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</si>
  <si>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</si>
  <si>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</si>
  <si>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</si>
  <si>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</si>
  <si>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</si>
  <si>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</si>
  <si>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</si>
  <si>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</si>
  <si>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</si>
  <si>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</si>
  <si>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</si>
  <si>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</si>
  <si>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</si>
  <si>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</si>
  <si>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</si>
  <si>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</si>
  <si>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</si>
  <si>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</si>
  <si>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</si>
  <si>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</si>
  <si>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</si>
  <si>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</si>
  <si>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</si>
  <si>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</si>
  <si>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</si>
  <si>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</si>
  <si>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</si>
  <si>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</si>
  <si>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</si>
  <si>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</si>
  <si>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</si>
  <si>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</si>
  <si>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</si>
  <si>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</si>
  <si>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</si>
  <si>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</si>
  <si>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</si>
  <si>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</si>
  <si>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</si>
  <si>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</si>
  <si>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</si>
  <si>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</si>
  <si>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</si>
  <si>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</si>
  <si>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</si>
  <si>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</si>
  <si>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</si>
  <si>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</si>
  <si>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</si>
  <si>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</si>
  <si>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</si>
  <si>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</si>
  <si>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</si>
  <si>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</si>
  <si>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</si>
  <si>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</si>
  <si>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</si>
  <si>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</si>
  <si>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</si>
  <si>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</si>
  <si>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</si>
  <si>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</si>
  <si>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</si>
  <si>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</si>
  <si>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</si>
  <si>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</si>
  <si>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</si>
  <si>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</si>
  <si>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</si>
  <si>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</si>
  <si>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</si>
  <si>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</si>
  <si>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</si>
  <si>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</si>
  <si>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</si>
  <si>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</si>
  <si>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</si>
  <si>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</si>
  <si>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</si>
  <si>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</si>
  <si>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</si>
  <si>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</si>
  <si>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</si>
  <si>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</si>
  <si>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</si>
  <si>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</si>
  <si>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</si>
  <si>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</si>
  <si>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</si>
  <si>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</si>
  <si>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</si>
  <si>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</si>
  <si>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</si>
  <si>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</si>
  <si>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</si>
  <si>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</si>
  <si>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</si>
  <si>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</si>
  <si>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</si>
  <si>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</si>
  <si>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</si>
  <si>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</si>
  <si>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</si>
  <si>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</si>
  <si>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</si>
  <si>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</si>
  <si>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</si>
  <si>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</si>
  <si>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</si>
  <si>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</si>
  <si>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</si>
  <si>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</si>
  <si>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</si>
  <si>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</si>
  <si>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</si>
  <si>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</si>
  <si>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</si>
  <si>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</si>
  <si>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</si>
  <si>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</si>
  <si>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</si>
  <si>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</si>
  <si>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</si>
  <si>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</si>
  <si>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</si>
  <si>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</si>
  <si>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</si>
  <si>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</si>
  <si>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</si>
  <si>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</si>
  <si>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</si>
  <si>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</si>
  <si>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</si>
  <si>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</si>
  <si>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</si>
  <si>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</si>
  <si>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</si>
  <si>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</si>
  <si>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</si>
  <si>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</si>
  <si>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</si>
  <si>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</si>
  <si>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</si>
  <si>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</si>
  <si>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</si>
  <si>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</si>
  <si>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</si>
  <si>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</si>
  <si>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</si>
  <si>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</si>
  <si>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</si>
  <si>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</si>
  <si>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</si>
  <si>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</si>
  <si>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</si>
  <si>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</si>
  <si>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</si>
  <si>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</si>
  <si>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</si>
  <si>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</si>
  <si>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</si>
  <si>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</si>
  <si>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</si>
  <si>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</si>
  <si>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</si>
  <si>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</si>
  <si>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</si>
  <si>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</si>
  <si>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</si>
  <si>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</si>
  <si>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</si>
  <si>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</si>
  <si>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</si>
  <si>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</si>
  <si>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</si>
  <si>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</si>
  <si>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</si>
  <si>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</si>
  <si>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</si>
  <si>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</si>
  <si>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</si>
  <si>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</si>
  <si>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</si>
  <si>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</si>
  <si>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</si>
  <si>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</si>
  <si>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</si>
  <si>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</si>
  <si>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</si>
  <si>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</si>
  <si>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</si>
  <si>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</si>
  <si>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</si>
  <si>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</si>
  <si>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</si>
  <si>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</si>
  <si>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</si>
  <si>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</si>
  <si>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</si>
  <si>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</si>
  <si>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</si>
  <si>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</si>
  <si>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</si>
  <si>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</si>
  <si>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</si>
  <si>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</si>
  <si>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</si>
  <si>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</si>
  <si>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</si>
  <si>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</si>
  <si>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</si>
  <si>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</si>
  <si>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</si>
  <si>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</si>
  <si>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</si>
  <si>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</si>
  <si>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</si>
  <si>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</si>
  <si>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</si>
  <si>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</si>
  <si>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</si>
  <si>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</si>
  <si>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</si>
  <si>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</si>
  <si>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</si>
  <si>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</si>
  <si>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</si>
  <si>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</si>
  <si>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</si>
  <si>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</si>
  <si>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</si>
  <si>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</si>
  <si>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</si>
  <si>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</si>
  <si>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</si>
  <si>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</si>
  <si>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</si>
  <si>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</si>
  <si>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</si>
  <si>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</si>
  <si>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</si>
  <si>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</si>
  <si>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</si>
  <si>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</si>
  <si>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</si>
  <si>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</si>
  <si>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</si>
  <si>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</si>
  <si>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</si>
  <si>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</si>
  <si>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</si>
  <si>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</si>
  <si>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</si>
  <si>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</si>
  <si>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</si>
  <si>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</si>
  <si>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</si>
  <si>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</si>
  <si>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</si>
  <si>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</si>
  <si>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</si>
  <si>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</si>
  <si>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</si>
  <si>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</si>
  <si>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</si>
  <si>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</si>
  <si>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</si>
  <si>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</si>
  <si>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</si>
  <si>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</si>
  <si>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</si>
  <si>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</si>
  <si>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</si>
  <si>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</si>
  <si>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</si>
  <si>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</si>
  <si>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</si>
  <si>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</si>
  <si>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</si>
  <si>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</si>
  <si>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</si>
  <si>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</si>
  <si>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</si>
  <si>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</si>
  <si>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</si>
  <si>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</si>
  <si>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</si>
  <si>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</si>
  <si>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</si>
  <si>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</si>
  <si>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</si>
  <si>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</si>
  <si>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</si>
  <si>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</si>
  <si>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</si>
  <si>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</si>
  <si>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</si>
  <si>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</si>
  <si>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</si>
  <si>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</si>
  <si>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</si>
  <si>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</si>
  <si>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</si>
  <si>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</si>
  <si>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</si>
  <si>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</si>
  <si>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</si>
  <si>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</si>
  <si>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</si>
  <si>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</si>
  <si>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</si>
  <si>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</si>
  <si>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</si>
  <si>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</si>
  <si>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</si>
  <si>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</si>
  <si>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</si>
  <si>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</si>
  <si>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</si>
  <si>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</si>
  <si>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</si>
  <si>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</si>
  <si>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</si>
  <si>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</si>
  <si>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</si>
  <si>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</si>
  <si>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</si>
  <si>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</si>
  <si>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</si>
  <si>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</si>
  <si>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</si>
  <si>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</si>
  <si>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</si>
  <si>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</si>
  <si>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</si>
  <si>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</si>
  <si>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</si>
  <si>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</si>
  <si>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</si>
  <si>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</si>
  <si>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</si>
  <si>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</si>
  <si>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</si>
  <si>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</si>
  <si>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</si>
  <si>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</si>
  <si>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</si>
  <si>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</si>
  <si>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</si>
  <si>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</si>
  <si>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</si>
  <si>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</si>
  <si>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</si>
  <si>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</si>
  <si>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</si>
  <si>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</si>
  <si>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</si>
  <si>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</si>
  <si>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</si>
  <si>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</si>
  <si>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</si>
  <si>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</si>
  <si>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</si>
  <si>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</si>
  <si>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</si>
  <si>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</si>
  <si>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</si>
  <si>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</si>
  <si>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</si>
  <si>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</si>
  <si>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</si>
  <si>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</si>
  <si>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</si>
  <si>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</si>
  <si>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</si>
  <si>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</si>
  <si>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</si>
  <si>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</si>
  <si>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</si>
  <si>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</si>
  <si>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</si>
  <si>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</si>
  <si>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</si>
  <si>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</si>
  <si>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</si>
  <si>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</si>
  <si>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</si>
  <si>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</si>
  <si>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</si>
  <si>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</si>
  <si>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</si>
  <si>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</si>
  <si>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</si>
  <si>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</si>
  <si>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</si>
  <si>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</si>
  <si>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</si>
  <si>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</si>
  <si>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</si>
  <si>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</si>
  <si>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</si>
  <si>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</si>
  <si>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</si>
  <si>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</si>
  <si>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</si>
  <si>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</si>
  <si>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</si>
  <si>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</si>
  <si>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</si>
  <si>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</si>
  <si>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</si>
  <si>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</si>
  <si>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</si>
  <si>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</si>
  <si>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</si>
  <si>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</si>
  <si>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</si>
  <si>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</si>
  <si>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</si>
  <si>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</si>
  <si>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</si>
  <si>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</si>
  <si>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</si>
  <si>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</si>
  <si>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</si>
  <si>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</si>
  <si>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</si>
  <si>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</si>
  <si>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</si>
  <si>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</si>
  <si>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</si>
  <si>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</si>
  <si>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</si>
  <si>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</si>
  <si>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</si>
  <si>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</si>
  <si>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</si>
  <si>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</si>
  <si>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</si>
  <si>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</si>
  <si>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</si>
  <si>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</si>
  <si>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</si>
  <si>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</si>
  <si>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</si>
  <si>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</si>
  <si>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</si>
  <si>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</si>
  <si>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</si>
  <si>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</si>
  <si>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</si>
  <si>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</si>
  <si>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</si>
  <si>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</si>
  <si>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</si>
  <si>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</si>
  <si>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</si>
  <si>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</si>
  <si>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</si>
  <si>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</si>
  <si>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</si>
  <si>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</si>
  <si>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</si>
  <si>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</si>
  <si>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</si>
  <si>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</si>
  <si>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</si>
  <si>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</si>
  <si>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</si>
  <si>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</si>
  <si>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</si>
  <si>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</si>
  <si>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</si>
  <si>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</si>
  <si>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</si>
  <si>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</si>
  <si>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</si>
  <si>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</si>
  <si>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</si>
  <si>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</si>
  <si>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</si>
  <si>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</si>
  <si>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</si>
  <si>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</si>
  <si>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</si>
  <si>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</si>
  <si>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</si>
  <si>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</si>
  <si>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</si>
  <si>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</si>
  <si>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</si>
  <si>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</si>
  <si>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</si>
  <si>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</si>
  <si>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</si>
  <si>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</si>
  <si>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</si>
  <si>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</si>
  <si>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</si>
  <si>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</si>
  <si>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</si>
  <si>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</si>
  <si>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</si>
  <si>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</si>
  <si>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</si>
  <si>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</si>
  <si>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</si>
  <si>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</si>
  <si>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</si>
  <si>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</si>
  <si>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</si>
  <si>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</si>
  <si>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</si>
  <si>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</si>
  <si>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</si>
  <si>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</si>
  <si>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</si>
  <si>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</si>
  <si>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</si>
  <si>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</si>
  <si>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</si>
  <si>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</si>
  <si>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</si>
  <si>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</si>
  <si>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</si>
  <si>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</si>
  <si>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</si>
  <si>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</si>
  <si>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</si>
  <si>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</si>
  <si>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</si>
  <si>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</si>
  <si>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</si>
  <si>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</si>
  <si>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</si>
  <si>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</si>
  <si>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</si>
  <si>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</si>
  <si>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</si>
  <si>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</si>
  <si>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</si>
  <si>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</si>
  <si>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</si>
  <si>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</si>
  <si>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</si>
  <si>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</si>
  <si>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</si>
  <si>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</si>
  <si>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</si>
  <si>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</si>
  <si>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</si>
  <si>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</si>
  <si>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</si>
  <si>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</si>
  <si>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</si>
  <si>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</si>
  <si>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</si>
  <si>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</si>
  <si>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</si>
  <si>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</si>
  <si>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</si>
  <si>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</si>
  <si>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</si>
  <si>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</si>
  <si>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</si>
  <si>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</si>
  <si>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</si>
  <si>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</si>
  <si>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</si>
  <si>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</si>
  <si>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</si>
  <si>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</si>
  <si>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</si>
  <si>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</si>
  <si>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</si>
  <si>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</si>
  <si>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</si>
  <si>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</si>
  <si>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</si>
  <si>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</si>
  <si>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</si>
  <si>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</si>
  <si>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</si>
  <si>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</si>
  <si>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</si>
  <si>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</si>
  <si>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</si>
  <si>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</si>
  <si>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</si>
  <si>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</si>
  <si>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</si>
  <si>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</si>
  <si>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</si>
  <si>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</si>
  <si>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</si>
  <si>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</si>
  <si>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</si>
  <si>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</si>
  <si>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</si>
  <si>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</si>
  <si>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</si>
  <si>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</si>
  <si>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</si>
  <si>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</si>
  <si>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</si>
  <si>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</si>
  <si>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</si>
  <si>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</si>
  <si>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</si>
  <si>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</si>
  <si>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</si>
  <si>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</si>
  <si>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</si>
  <si>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</si>
  <si>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</si>
  <si>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</si>
  <si>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</si>
  <si>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</si>
  <si>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</si>
  <si>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</si>
  <si>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</si>
  <si>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</si>
  <si>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</si>
  <si>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</si>
  <si>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</si>
  <si>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</si>
  <si>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</si>
  <si>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</si>
  <si>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</si>
  <si>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</si>
  <si>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</si>
  <si>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</si>
  <si>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</si>
  <si>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</si>
  <si>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</si>
  <si>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</si>
  <si>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</si>
  <si>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</si>
  <si>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</si>
  <si>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</si>
  <si>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</si>
  <si>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</si>
  <si>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</si>
  <si>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</si>
  <si>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</si>
  <si>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</si>
  <si>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</si>
  <si>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</si>
  <si>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</si>
  <si>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</si>
  <si>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</si>
  <si>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</si>
  <si>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</si>
  <si>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</si>
  <si>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</si>
  <si>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</si>
  <si>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</si>
  <si>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</si>
  <si>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</si>
  <si>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</si>
  <si>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</si>
  <si>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</si>
  <si>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</si>
  <si>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</si>
  <si>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</si>
  <si>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</si>
  <si>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</si>
  <si>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</si>
  <si>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</si>
  <si>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</si>
  <si>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</si>
  <si>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</si>
  <si>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</si>
  <si>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</si>
  <si>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</si>
  <si>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</si>
  <si>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</si>
  <si>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</si>
  <si>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</si>
  <si>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</si>
  <si>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</si>
  <si>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</si>
  <si>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</si>
  <si>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</si>
  <si>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</si>
  <si>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</si>
  <si>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</si>
  <si>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</si>
  <si>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</si>
  <si>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</si>
  <si>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</si>
  <si>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</si>
  <si>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</si>
  <si>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</si>
  <si>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</si>
  <si>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</si>
  <si>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</si>
  <si>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</si>
  <si>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</si>
  <si>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</si>
  <si>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</si>
  <si>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</si>
  <si>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</si>
  <si>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</si>
  <si>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</si>
  <si>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</si>
  <si>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</si>
  <si>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</si>
  <si>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</si>
  <si>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</si>
  <si>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</si>
  <si>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</si>
  <si>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</si>
  <si>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</si>
  <si>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</si>
  <si>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</si>
  <si>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</si>
  <si>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</si>
  <si>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</si>
  <si>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</si>
  <si>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</si>
  <si>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</si>
  <si>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</si>
  <si>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</si>
  <si>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</si>
  <si>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</si>
  <si>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</si>
  <si>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</si>
  <si>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</si>
  <si>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</si>
  <si>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</si>
  <si>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</si>
  <si>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</si>
  <si>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</si>
  <si>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</si>
  <si>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</si>
  <si>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</si>
  <si>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</si>
  <si>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</si>
  <si>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</si>
  <si>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</si>
  <si>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</si>
  <si>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</si>
  <si>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</si>
  <si>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</si>
  <si>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</si>
  <si>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</si>
  <si>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</si>
  <si>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</si>
  <si>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</si>
  <si>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</si>
  <si>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</si>
  <si>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</si>
  <si>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</si>
  <si>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</si>
  <si>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</si>
  <si>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</si>
  <si>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</si>
  <si>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</si>
  <si>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</si>
  <si>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</si>
  <si>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24011</t>
  </si>
  <si>
    <t>BIERBEEK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</si>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</sst>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86158.335511203972</c:v>
                </c:pt>
                <c:pt idx="1">
                  <c:v>34828.787357050132</c:v>
                </c:pt>
                <c:pt idx="2">
                  <c:v>500.34500000000003</c:v>
                </c:pt>
                <c:pt idx="3">
                  <c:v>3704.7339387801017</c:v>
                </c:pt>
                <c:pt idx="4">
                  <c:v>2406.0733315229222</c:v>
                </c:pt>
                <c:pt idx="5">
                  <c:v>138872.74566339728</c:v>
                </c:pt>
                <c:pt idx="6">
                  <c:v>2364.1694697690473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86158.335511203972</c:v>
                </c:pt>
                <c:pt idx="1">
                  <c:v>34828.787357050132</c:v>
                </c:pt>
                <c:pt idx="2">
                  <c:v>500.34500000000003</c:v>
                </c:pt>
                <c:pt idx="3">
                  <c:v>3704.7339387801017</c:v>
                </c:pt>
                <c:pt idx="4">
                  <c:v>2406.0733315229222</c:v>
                </c:pt>
                <c:pt idx="5">
                  <c:v>138872.74566339728</c:v>
                </c:pt>
                <c:pt idx="6">
                  <c:v>2364.1694697690473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18026.758987622001</c:v>
                </c:pt>
                <c:pt idx="2">
                  <c:v>7043.9394119194903</c:v>
                </c:pt>
                <c:pt idx="3">
                  <c:v>101.27263347244832</c:v>
                </c:pt>
                <c:pt idx="4">
                  <c:v>942.88587798415415</c:v>
                </c:pt>
                <c:pt idx="5">
                  <c:v>506.55060000838733</c:v>
                </c:pt>
                <c:pt idx="6">
                  <c:v>34762.926940048965</c:v>
                </c:pt>
                <c:pt idx="7">
                  <c:v>595.68249010893373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18026.758987622001</c:v>
                </c:pt>
                <c:pt idx="2">
                  <c:v>7043.9394119194903</c:v>
                </c:pt>
                <c:pt idx="3">
                  <c:v>101.27263347244832</c:v>
                </c:pt>
                <c:pt idx="4">
                  <c:v>942.88587798415415</c:v>
                </c:pt>
                <c:pt idx="5">
                  <c:v>506.55060000838733</c:v>
                </c:pt>
                <c:pt idx="6">
                  <c:v>34762.926940048965</c:v>
                </c:pt>
                <c:pt idx="7">
                  <c:v>595.68249010893373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24011</v>
      </c>
      <c r="B6" s="384"/>
      <c r="C6" s="385"/>
    </row>
    <row r="7" spans="1:7" s="382" customFormat="1" ht="15.75" customHeight="1">
      <c r="A7" s="386" t="str">
        <f>txtMunicipality</f>
        <v>BIERBEEK</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13930.389765867867</v>
      </c>
      <c r="D10" s="973">
        <f ca="1">tertiair!C16</f>
        <v>0</v>
      </c>
      <c r="E10" s="973">
        <f ca="1">tertiair!D16</f>
        <v>18088.527343262947</v>
      </c>
      <c r="F10" s="973">
        <f>tertiair!E16</f>
        <v>270.42169170099811</v>
      </c>
      <c r="G10" s="973">
        <f ca="1">tertiair!F16</f>
        <v>2285.9497569749742</v>
      </c>
      <c r="H10" s="973">
        <f>tertiair!G16</f>
        <v>0</v>
      </c>
      <c r="I10" s="973">
        <f>tertiair!H16</f>
        <v>0</v>
      </c>
      <c r="J10" s="973">
        <f>tertiair!I16</f>
        <v>0</v>
      </c>
      <c r="K10" s="973">
        <f>tertiair!J16</f>
        <v>1.755807456940044E-2</v>
      </c>
      <c r="L10" s="973">
        <f>tertiair!K16</f>
        <v>0</v>
      </c>
      <c r="M10" s="973">
        <f ca="1">tertiair!L16</f>
        <v>0</v>
      </c>
      <c r="N10" s="973">
        <f>tertiair!M16</f>
        <v>0</v>
      </c>
      <c r="O10" s="973">
        <f ca="1">tertiair!N16</f>
        <v>711.00290783544403</v>
      </c>
      <c r="P10" s="973">
        <f>tertiair!O16</f>
        <v>4.6900000000000004</v>
      </c>
      <c r="Q10" s="974">
        <f>tertiair!P16</f>
        <v>38.133333333333333</v>
      </c>
      <c r="R10" s="668">
        <f ca="1">SUM(C10:Q10)</f>
        <v>35329.132357050134</v>
      </c>
      <c r="S10" s="67"/>
    </row>
    <row r="11" spans="1:19" s="441" customFormat="1">
      <c r="A11" s="777" t="s">
        <v>219</v>
      </c>
      <c r="B11" s="782"/>
      <c r="C11" s="973">
        <f>huishoudens!B8</f>
        <v>17338.519039034625</v>
      </c>
      <c r="D11" s="973">
        <f>huishoudens!C8</f>
        <v>0</v>
      </c>
      <c r="E11" s="973">
        <f>huishoudens!D8</f>
        <v>31888.078585798699</v>
      </c>
      <c r="F11" s="973">
        <f>huishoudens!E8</f>
        <v>1148.0102688572547</v>
      </c>
      <c r="G11" s="973">
        <f>huishoudens!F8</f>
        <v>29085.434234968212</v>
      </c>
      <c r="H11" s="973">
        <f>huishoudens!G8</f>
        <v>0</v>
      </c>
      <c r="I11" s="973">
        <f>huishoudens!H8</f>
        <v>0</v>
      </c>
      <c r="J11" s="973">
        <f>huishoudens!I8</f>
        <v>0</v>
      </c>
      <c r="K11" s="973">
        <f>huishoudens!J8</f>
        <v>139.95584640882277</v>
      </c>
      <c r="L11" s="973">
        <f>huishoudens!K8</f>
        <v>0</v>
      </c>
      <c r="M11" s="973">
        <f>huishoudens!L8</f>
        <v>0</v>
      </c>
      <c r="N11" s="973">
        <f>huishoudens!M8</f>
        <v>0</v>
      </c>
      <c r="O11" s="973">
        <f>huishoudens!N8</f>
        <v>5841.8675361363621</v>
      </c>
      <c r="P11" s="973">
        <f>huishoudens!O8</f>
        <v>201.67000000000004</v>
      </c>
      <c r="Q11" s="974">
        <f>huishoudens!P8</f>
        <v>514.79999999999995</v>
      </c>
      <c r="R11" s="668">
        <f>SUM(C11:Q11)</f>
        <v>86158.335511203972</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834.558800147488</v>
      </c>
      <c r="D13" s="973">
        <f>industrie!C18</f>
        <v>0</v>
      </c>
      <c r="E13" s="973">
        <f>industrie!D18</f>
        <v>925.87553163987434</v>
      </c>
      <c r="F13" s="973">
        <f>industrie!E18</f>
        <v>151.05300055829201</v>
      </c>
      <c r="G13" s="973">
        <f>industrie!F18</f>
        <v>434.08072432518168</v>
      </c>
      <c r="H13" s="973">
        <f>industrie!G18</f>
        <v>0</v>
      </c>
      <c r="I13" s="973">
        <f>industrie!H18</f>
        <v>0</v>
      </c>
      <c r="J13" s="973">
        <f>industrie!I18</f>
        <v>0</v>
      </c>
      <c r="K13" s="973">
        <f>industrie!J18</f>
        <v>1.1745127432050799</v>
      </c>
      <c r="L13" s="973">
        <f>industrie!K18</f>
        <v>0</v>
      </c>
      <c r="M13" s="973">
        <f>industrie!L18</f>
        <v>0</v>
      </c>
      <c r="N13" s="973">
        <f>industrie!M18</f>
        <v>0</v>
      </c>
      <c r="O13" s="973">
        <f>industrie!N18</f>
        <v>59.330762108881245</v>
      </c>
      <c r="P13" s="973">
        <f>industrie!O18</f>
        <v>0</v>
      </c>
      <c r="Q13" s="974">
        <f>industrie!P18</f>
        <v>0</v>
      </c>
      <c r="R13" s="668">
        <f>SUM(C13:Q13)</f>
        <v>2406.0733315229222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32103.467605049984</v>
      </c>
      <c r="D16" s="700">
        <f t="shared" ref="D16:R16" ca="1" si="0">SUM(D9:D15)</f>
        <v>0</v>
      </c>
      <c r="E16" s="700">
        <f t="shared" ca="1" si="0"/>
        <v>50902.481460701521</v>
      </c>
      <c r="F16" s="700">
        <f t="shared" si="0"/>
        <v>1569.4849611165448</v>
      </c>
      <c r="G16" s="700">
        <f t="shared" ca="1" si="0"/>
        <v>31805.464716268365</v>
      </c>
      <c r="H16" s="700">
        <f t="shared" si="0"/>
        <v>0</v>
      </c>
      <c r="I16" s="700">
        <f t="shared" si="0"/>
        <v>0</v>
      </c>
      <c r="J16" s="700">
        <f t="shared" si="0"/>
        <v>0</v>
      </c>
      <c r="K16" s="700">
        <f t="shared" si="0"/>
        <v>141.14791722659723</v>
      </c>
      <c r="L16" s="700">
        <f t="shared" si="0"/>
        <v>0</v>
      </c>
      <c r="M16" s="700">
        <f t="shared" ca="1" si="0"/>
        <v>0</v>
      </c>
      <c r="N16" s="700">
        <f t="shared" si="0"/>
        <v>0</v>
      </c>
      <c r="O16" s="700">
        <f t="shared" ca="1" si="0"/>
        <v>6612.2012060806874</v>
      </c>
      <c r="P16" s="700">
        <f t="shared" si="0"/>
        <v>206.36000000000004</v>
      </c>
      <c r="Q16" s="700">
        <f t="shared" si="0"/>
        <v>552.93333333333328</v>
      </c>
      <c r="R16" s="700">
        <f t="shared" ca="1" si="0"/>
        <v>123893.54119977703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23.559284106342286</v>
      </c>
      <c r="D19" s="973">
        <f>transport!C54</f>
        <v>0</v>
      </c>
      <c r="E19" s="973">
        <f>transport!D54</f>
        <v>0</v>
      </c>
      <c r="F19" s="973">
        <f>transport!E54</f>
        <v>0</v>
      </c>
      <c r="G19" s="973">
        <f>transport!F54</f>
        <v>0</v>
      </c>
      <c r="H19" s="973">
        <f>transport!G54</f>
        <v>2213.1608947831955</v>
      </c>
      <c r="I19" s="973">
        <f>transport!H54</f>
        <v>0</v>
      </c>
      <c r="J19" s="973">
        <f>transport!I54</f>
        <v>0</v>
      </c>
      <c r="K19" s="973">
        <f>transport!J54</f>
        <v>0</v>
      </c>
      <c r="L19" s="973">
        <f>transport!K54</f>
        <v>0</v>
      </c>
      <c r="M19" s="973">
        <f>transport!L54</f>
        <v>0</v>
      </c>
      <c r="N19" s="973">
        <f>transport!M54</f>
        <v>127.44929087950959</v>
      </c>
      <c r="O19" s="973">
        <f>transport!N54</f>
        <v>0</v>
      </c>
      <c r="P19" s="973">
        <f>transport!O54</f>
        <v>0</v>
      </c>
      <c r="Q19" s="974">
        <f>transport!P54</f>
        <v>0</v>
      </c>
      <c r="R19" s="668">
        <f>SUM(C19:Q19)</f>
        <v>2364.1694697690473</v>
      </c>
      <c r="S19" s="67"/>
    </row>
    <row r="20" spans="1:19" s="441" customFormat="1">
      <c r="A20" s="777" t="s">
        <v>301</v>
      </c>
      <c r="B20" s="782"/>
      <c r="C20" s="973">
        <f>transport!B14</f>
        <v>91.555683927937437</v>
      </c>
      <c r="D20" s="973">
        <f>transport!C14</f>
        <v>0</v>
      </c>
      <c r="E20" s="973">
        <f>transport!D14</f>
        <v>142.44645651498146</v>
      </c>
      <c r="F20" s="973">
        <f>transport!E14</f>
        <v>278.37812436697266</v>
      </c>
      <c r="G20" s="973">
        <f>transport!F14</f>
        <v>0</v>
      </c>
      <c r="H20" s="973">
        <f>transport!G14</f>
        <v>107921.58940767146</v>
      </c>
      <c r="I20" s="973">
        <f>transport!H14</f>
        <v>23443.233598259685</v>
      </c>
      <c r="J20" s="973">
        <f>transport!I14</f>
        <v>0</v>
      </c>
      <c r="K20" s="973">
        <f>transport!J14</f>
        <v>0</v>
      </c>
      <c r="L20" s="973">
        <f>transport!K14</f>
        <v>0</v>
      </c>
      <c r="M20" s="973">
        <f>transport!L14</f>
        <v>0</v>
      </c>
      <c r="N20" s="973">
        <f>transport!M14</f>
        <v>6995.5423926562235</v>
      </c>
      <c r="O20" s="973">
        <f>transport!N14</f>
        <v>0</v>
      </c>
      <c r="P20" s="973">
        <f>transport!O14</f>
        <v>0</v>
      </c>
      <c r="Q20" s="974">
        <f>transport!P14</f>
        <v>0</v>
      </c>
      <c r="R20" s="668">
        <f>SUM(C20:Q20)</f>
        <v>138872.74566339728</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115.11496803427973</v>
      </c>
      <c r="D22" s="780">
        <f t="shared" ref="D22:R22" si="1">SUM(D18:D21)</f>
        <v>0</v>
      </c>
      <c r="E22" s="780">
        <f t="shared" si="1"/>
        <v>142.44645651498146</v>
      </c>
      <c r="F22" s="780">
        <f t="shared" si="1"/>
        <v>278.37812436697266</v>
      </c>
      <c r="G22" s="780">
        <f t="shared" si="1"/>
        <v>0</v>
      </c>
      <c r="H22" s="780">
        <f t="shared" si="1"/>
        <v>110134.75030245466</v>
      </c>
      <c r="I22" s="780">
        <f t="shared" si="1"/>
        <v>23443.233598259685</v>
      </c>
      <c r="J22" s="780">
        <f t="shared" si="1"/>
        <v>0</v>
      </c>
      <c r="K22" s="780">
        <f t="shared" si="1"/>
        <v>0</v>
      </c>
      <c r="L22" s="780">
        <f t="shared" si="1"/>
        <v>0</v>
      </c>
      <c r="M22" s="780">
        <f t="shared" si="1"/>
        <v>0</v>
      </c>
      <c r="N22" s="780">
        <f t="shared" si="1"/>
        <v>7122.9916835357326</v>
      </c>
      <c r="O22" s="780">
        <f t="shared" si="1"/>
        <v>0</v>
      </c>
      <c r="P22" s="780">
        <f t="shared" si="1"/>
        <v>0</v>
      </c>
      <c r="Q22" s="780">
        <f t="shared" si="1"/>
        <v>0</v>
      </c>
      <c r="R22" s="780">
        <f t="shared" si="1"/>
        <v>141236.91513316633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661.7814037205867</v>
      </c>
      <c r="D24" s="973">
        <f>+landbouw!C8</f>
        <v>0</v>
      </c>
      <c r="E24" s="973">
        <f>+landbouw!D8</f>
        <v>170.67727769976327</v>
      </c>
      <c r="F24" s="973">
        <f>+landbouw!E8</f>
        <v>19.451776769058064</v>
      </c>
      <c r="G24" s="973">
        <f>+landbouw!F8</f>
        <v>2756.9455671099076</v>
      </c>
      <c r="H24" s="973">
        <f>+landbouw!G8</f>
        <v>0</v>
      </c>
      <c r="I24" s="973">
        <f>+landbouw!H8</f>
        <v>0</v>
      </c>
      <c r="J24" s="973">
        <f>+landbouw!I8</f>
        <v>0</v>
      </c>
      <c r="K24" s="973">
        <f>+landbouw!J8</f>
        <v>95.877913480785907</v>
      </c>
      <c r="L24" s="973">
        <f>+landbouw!K8</f>
        <v>0</v>
      </c>
      <c r="M24" s="973">
        <f>+landbouw!L8</f>
        <v>0</v>
      </c>
      <c r="N24" s="973">
        <f>+landbouw!M8</f>
        <v>0</v>
      </c>
      <c r="O24" s="973">
        <f>+landbouw!N8</f>
        <v>0</v>
      </c>
      <c r="P24" s="973">
        <f>+landbouw!O8</f>
        <v>0</v>
      </c>
      <c r="Q24" s="974">
        <f>+landbouw!P8</f>
        <v>0</v>
      </c>
      <c r="R24" s="668">
        <f>SUM(C24:Q24)</f>
        <v>3704.7339387801017</v>
      </c>
      <c r="S24" s="67"/>
    </row>
    <row r="25" spans="1:19" s="441" customFormat="1" ht="15" thickBot="1">
      <c r="A25" s="799" t="s">
        <v>808</v>
      </c>
      <c r="B25" s="976"/>
      <c r="C25" s="977">
        <f>IF(Onbekend_ele_kWh="---",0,Onbekend_ele_kWh)/1000+IF(REST_rest_ele_kWh="---",0,REST_rest_ele_kWh)/1000</f>
        <v>432.72789371477302</v>
      </c>
      <c r="D25" s="977"/>
      <c r="E25" s="977">
        <f>IF(onbekend_gas_kWh="---",0,onbekend_gas_kWh)/1000+IF(REST_rest_gas_kWh="---",0,REST_rest_gas_kWh)/1000</f>
        <v>1317.0859366227801</v>
      </c>
      <c r="F25" s="977"/>
      <c r="G25" s="977"/>
      <c r="H25" s="977"/>
      <c r="I25" s="977"/>
      <c r="J25" s="977"/>
      <c r="K25" s="977"/>
      <c r="L25" s="977"/>
      <c r="M25" s="977"/>
      <c r="N25" s="977"/>
      <c r="O25" s="977"/>
      <c r="P25" s="977"/>
      <c r="Q25" s="978"/>
      <c r="R25" s="668">
        <f>SUM(C25:Q25)</f>
        <v>1749.8138303375531</v>
      </c>
      <c r="S25" s="67"/>
    </row>
    <row r="26" spans="1:19" s="441" customFormat="1" ht="15.75" thickBot="1">
      <c r="A26" s="673" t="s">
        <v>809</v>
      </c>
      <c r="B26" s="785"/>
      <c r="C26" s="780">
        <f>SUM(C24:C25)</f>
        <v>1094.5092974353597</v>
      </c>
      <c r="D26" s="780">
        <f t="shared" ref="D26:R26" si="2">SUM(D24:D25)</f>
        <v>0</v>
      </c>
      <c r="E26" s="780">
        <f t="shared" si="2"/>
        <v>1487.7632143225433</v>
      </c>
      <c r="F26" s="780">
        <f t="shared" si="2"/>
        <v>19.451776769058064</v>
      </c>
      <c r="G26" s="780">
        <f t="shared" si="2"/>
        <v>2756.9455671099076</v>
      </c>
      <c r="H26" s="780">
        <f t="shared" si="2"/>
        <v>0</v>
      </c>
      <c r="I26" s="780">
        <f t="shared" si="2"/>
        <v>0</v>
      </c>
      <c r="J26" s="780">
        <f t="shared" si="2"/>
        <v>0</v>
      </c>
      <c r="K26" s="780">
        <f t="shared" si="2"/>
        <v>95.877913480785907</v>
      </c>
      <c r="L26" s="780">
        <f t="shared" si="2"/>
        <v>0</v>
      </c>
      <c r="M26" s="780">
        <f t="shared" si="2"/>
        <v>0</v>
      </c>
      <c r="N26" s="780">
        <f t="shared" si="2"/>
        <v>0</v>
      </c>
      <c r="O26" s="780">
        <f t="shared" si="2"/>
        <v>0</v>
      </c>
      <c r="P26" s="780">
        <f t="shared" si="2"/>
        <v>0</v>
      </c>
      <c r="Q26" s="780">
        <f t="shared" si="2"/>
        <v>0</v>
      </c>
      <c r="R26" s="780">
        <f t="shared" si="2"/>
        <v>5454.5477691176548</v>
      </c>
      <c r="S26" s="67"/>
    </row>
    <row r="27" spans="1:19" s="441" customFormat="1" ht="17.25" thickTop="1" thickBot="1">
      <c r="A27" s="674" t="s">
        <v>115</v>
      </c>
      <c r="B27" s="773"/>
      <c r="C27" s="675">
        <f ca="1">C22+C16+C26</f>
        <v>33313.091870519624</v>
      </c>
      <c r="D27" s="675">
        <f t="shared" ref="D27:R27" ca="1" si="3">D22+D16+D26</f>
        <v>0</v>
      </c>
      <c r="E27" s="675">
        <f t="shared" ca="1" si="3"/>
        <v>52532.691131539046</v>
      </c>
      <c r="F27" s="675">
        <f t="shared" si="3"/>
        <v>1867.3148622525755</v>
      </c>
      <c r="G27" s="675">
        <f t="shared" ca="1" si="3"/>
        <v>34562.410283378274</v>
      </c>
      <c r="H27" s="675">
        <f t="shared" si="3"/>
        <v>110134.75030245466</v>
      </c>
      <c r="I27" s="675">
        <f t="shared" si="3"/>
        <v>23443.233598259685</v>
      </c>
      <c r="J27" s="675">
        <f t="shared" si="3"/>
        <v>0</v>
      </c>
      <c r="K27" s="675">
        <f t="shared" si="3"/>
        <v>237.02583070738314</v>
      </c>
      <c r="L27" s="675">
        <f t="shared" si="3"/>
        <v>0</v>
      </c>
      <c r="M27" s="675">
        <f t="shared" ca="1" si="3"/>
        <v>0</v>
      </c>
      <c r="N27" s="675">
        <f t="shared" si="3"/>
        <v>7122.9916835357326</v>
      </c>
      <c r="O27" s="675">
        <f t="shared" ca="1" si="3"/>
        <v>6612.2012060806874</v>
      </c>
      <c r="P27" s="675">
        <f t="shared" si="3"/>
        <v>206.36000000000004</v>
      </c>
      <c r="Q27" s="675">
        <f t="shared" si="3"/>
        <v>552.93333333333328</v>
      </c>
      <c r="R27" s="675">
        <f t="shared" ca="1" si="3"/>
        <v>270585.00410206098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2819.588997365981</v>
      </c>
      <c r="D40" s="973">
        <f ca="1">tertiair!C20</f>
        <v>0</v>
      </c>
      <c r="E40" s="973">
        <f ca="1">tertiair!D20</f>
        <v>3653.8825233391158</v>
      </c>
      <c r="F40" s="973">
        <f>tertiair!E20</f>
        <v>61.385724016126574</v>
      </c>
      <c r="G40" s="973">
        <f ca="1">tertiair!F20</f>
        <v>610.34858511231812</v>
      </c>
      <c r="H40" s="973">
        <f>tertiair!G20</f>
        <v>0</v>
      </c>
      <c r="I40" s="973">
        <f>tertiair!H20</f>
        <v>0</v>
      </c>
      <c r="J40" s="973">
        <f>tertiair!I20</f>
        <v>0</v>
      </c>
      <c r="K40" s="973">
        <f>tertiair!J20</f>
        <v>6.2155583975677551E-3</v>
      </c>
      <c r="L40" s="973">
        <f>tertiair!K20</f>
        <v>0</v>
      </c>
      <c r="M40" s="973">
        <f ca="1">tertiair!L20</f>
        <v>0</v>
      </c>
      <c r="N40" s="973">
        <f>tertiair!M20</f>
        <v>0</v>
      </c>
      <c r="O40" s="973">
        <f ca="1">tertiair!N20</f>
        <v>0</v>
      </c>
      <c r="P40" s="973">
        <f>tertiair!O20</f>
        <v>0</v>
      </c>
      <c r="Q40" s="742">
        <f>tertiair!P20</f>
        <v>0</v>
      </c>
      <c r="R40" s="818">
        <f t="shared" ca="1" si="4"/>
        <v>7145.2120453919388</v>
      </c>
    </row>
    <row r="41" spans="1:18">
      <c r="A41" s="790" t="s">
        <v>219</v>
      </c>
      <c r="B41" s="797"/>
      <c r="C41" s="973">
        <f ca="1">huishoudens!B12</f>
        <v>3509.4134718948335</v>
      </c>
      <c r="D41" s="973">
        <f ca="1">huishoudens!C12</f>
        <v>0</v>
      </c>
      <c r="E41" s="973">
        <f>huishoudens!D12</f>
        <v>6441.3918743313379</v>
      </c>
      <c r="F41" s="973">
        <f>huishoudens!E12</f>
        <v>260.5983310305968</v>
      </c>
      <c r="G41" s="973">
        <f>huishoudens!F12</f>
        <v>7765.8109407365127</v>
      </c>
      <c r="H41" s="973">
        <f>huishoudens!G12</f>
        <v>0</v>
      </c>
      <c r="I41" s="973">
        <f>huishoudens!H12</f>
        <v>0</v>
      </c>
      <c r="J41" s="973">
        <f>huishoudens!I12</f>
        <v>0</v>
      </c>
      <c r="K41" s="973">
        <f>huishoudens!J12</f>
        <v>49.54436962872326</v>
      </c>
      <c r="L41" s="973">
        <f>huishoudens!K12</f>
        <v>0</v>
      </c>
      <c r="M41" s="973">
        <f>huishoudens!L12</f>
        <v>0</v>
      </c>
      <c r="N41" s="973">
        <f>huishoudens!M12</f>
        <v>0</v>
      </c>
      <c r="O41" s="973">
        <f>huishoudens!N12</f>
        <v>0</v>
      </c>
      <c r="P41" s="973">
        <f>huishoudens!O12</f>
        <v>0</v>
      </c>
      <c r="Q41" s="742">
        <f>huishoudens!P12</f>
        <v>0</v>
      </c>
      <c r="R41" s="818">
        <f t="shared" ca="1" si="4"/>
        <v>18026.758987622001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168.9193805844823</v>
      </c>
      <c r="D43" s="973">
        <f ca="1">industrie!C22</f>
        <v>0</v>
      </c>
      <c r="E43" s="973">
        <f>industrie!D22</f>
        <v>187.02685739125462</v>
      </c>
      <c r="F43" s="973">
        <f>industrie!E22</f>
        <v>34.28903112673229</v>
      </c>
      <c r="G43" s="973">
        <f>industrie!F22</f>
        <v>115.89955339482351</v>
      </c>
      <c r="H43" s="973">
        <f>industrie!G22</f>
        <v>0</v>
      </c>
      <c r="I43" s="973">
        <f>industrie!H22</f>
        <v>0</v>
      </c>
      <c r="J43" s="973">
        <f>industrie!I22</f>
        <v>0</v>
      </c>
      <c r="K43" s="973">
        <f>industrie!J22</f>
        <v>0.41577751109459826</v>
      </c>
      <c r="L43" s="973">
        <f>industrie!K22</f>
        <v>0</v>
      </c>
      <c r="M43" s="973">
        <f>industrie!L22</f>
        <v>0</v>
      </c>
      <c r="N43" s="973">
        <f>industrie!M22</f>
        <v>0</v>
      </c>
      <c r="O43" s="973">
        <f>industrie!N22</f>
        <v>0</v>
      </c>
      <c r="P43" s="973">
        <f>industrie!O22</f>
        <v>0</v>
      </c>
      <c r="Q43" s="742">
        <f>industrie!P22</f>
        <v>0</v>
      </c>
      <c r="R43" s="817">
        <f t="shared" ca="1" si="4"/>
        <v>506.55060000838733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6497.9218498452974</v>
      </c>
      <c r="D46" s="700">
        <f t="shared" ref="D46:Q46" ca="1" si="5">SUM(D39:D45)</f>
        <v>0</v>
      </c>
      <c r="E46" s="700">
        <f t="shared" ca="1" si="5"/>
        <v>10282.301255061708</v>
      </c>
      <c r="F46" s="700">
        <f t="shared" si="5"/>
        <v>356.27308617345568</v>
      </c>
      <c r="G46" s="700">
        <f t="shared" ca="1" si="5"/>
        <v>8492.0590792436542</v>
      </c>
      <c r="H46" s="700">
        <f t="shared" si="5"/>
        <v>0</v>
      </c>
      <c r="I46" s="700">
        <f t="shared" si="5"/>
        <v>0</v>
      </c>
      <c r="J46" s="700">
        <f t="shared" si="5"/>
        <v>0</v>
      </c>
      <c r="K46" s="700">
        <f t="shared" si="5"/>
        <v>49.966362698215427</v>
      </c>
      <c r="L46" s="700">
        <f t="shared" si="5"/>
        <v>0</v>
      </c>
      <c r="M46" s="700">
        <f t="shared" ca="1" si="5"/>
        <v>0</v>
      </c>
      <c r="N46" s="700">
        <f t="shared" si="5"/>
        <v>0</v>
      </c>
      <c r="O46" s="700">
        <f t="shared" ca="1" si="5"/>
        <v>0</v>
      </c>
      <c r="P46" s="700">
        <f t="shared" si="5"/>
        <v>0</v>
      </c>
      <c r="Q46" s="700">
        <f t="shared" si="5"/>
        <v>0</v>
      </c>
      <c r="R46" s="700">
        <f ca="1">SUM(R39:R45)</f>
        <v>25678.521633022327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4.7685312018205028</v>
      </c>
      <c r="D49" s="973">
        <f ca="1">transport!C58</f>
        <v>0</v>
      </c>
      <c r="E49" s="973">
        <f>transport!D58</f>
        <v>0</v>
      </c>
      <c r="F49" s="973">
        <f>transport!E58</f>
        <v>0</v>
      </c>
      <c r="G49" s="973">
        <f>transport!F58</f>
        <v>0</v>
      </c>
      <c r="H49" s="973">
        <f>transport!G58</f>
        <v>590.91395890711328</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595.68249010893373</v>
      </c>
    </row>
    <row r="50" spans="1:18">
      <c r="A50" s="793" t="s">
        <v>301</v>
      </c>
      <c r="B50" s="803"/>
      <c r="C50" s="671">
        <f ca="1">transport!B18</f>
        <v>18.531383786693851</v>
      </c>
      <c r="D50" s="671">
        <f>transport!C18</f>
        <v>0</v>
      </c>
      <c r="E50" s="671">
        <f>transport!D18</f>
        <v>28.774184216026256</v>
      </c>
      <c r="F50" s="671">
        <f>transport!E18</f>
        <v>63.191834231302792</v>
      </c>
      <c r="G50" s="671">
        <f>transport!F18</f>
        <v>0</v>
      </c>
      <c r="H50" s="671">
        <f>transport!G18</f>
        <v>28815.064371848282</v>
      </c>
      <c r="I50" s="671">
        <f>transport!H18</f>
        <v>5837.3651659666612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34762.926940048965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23.299914988514352</v>
      </c>
      <c r="D52" s="700">
        <f t="shared" ref="D52:Q52" ca="1" si="6">SUM(D48:D51)</f>
        <v>0</v>
      </c>
      <c r="E52" s="700">
        <f t="shared" si="6"/>
        <v>28.774184216026256</v>
      </c>
      <c r="F52" s="700">
        <f t="shared" si="6"/>
        <v>63.191834231302792</v>
      </c>
      <c r="G52" s="700">
        <f t="shared" si="6"/>
        <v>0</v>
      </c>
      <c r="H52" s="700">
        <f t="shared" si="6"/>
        <v>29405.978330755395</v>
      </c>
      <c r="I52" s="700">
        <f t="shared" si="6"/>
        <v>5837.3651659666612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35358.6094301579</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133.94826677168217</v>
      </c>
      <c r="D54" s="671">
        <f ca="1">+landbouw!C12</f>
        <v>0</v>
      </c>
      <c r="E54" s="671">
        <f>+landbouw!D12</f>
        <v>34.476810095352185</v>
      </c>
      <c r="F54" s="671">
        <f>+landbouw!E12</f>
        <v>4.4155533265761804</v>
      </c>
      <c r="G54" s="671">
        <f>+landbouw!F12</f>
        <v>736.1044664183454</v>
      </c>
      <c r="H54" s="671">
        <f>+landbouw!G12</f>
        <v>0</v>
      </c>
      <c r="I54" s="671">
        <f>+landbouw!H12</f>
        <v>0</v>
      </c>
      <c r="J54" s="671">
        <f>+landbouw!I12</f>
        <v>0</v>
      </c>
      <c r="K54" s="671">
        <f>+landbouw!J12</f>
        <v>33.940781372198209</v>
      </c>
      <c r="L54" s="671">
        <f>+landbouw!K12</f>
        <v>0</v>
      </c>
      <c r="M54" s="671">
        <f>+landbouw!L12</f>
        <v>0</v>
      </c>
      <c r="N54" s="671">
        <f>+landbouw!M12</f>
        <v>0</v>
      </c>
      <c r="O54" s="671">
        <f>+landbouw!N12</f>
        <v>0</v>
      </c>
      <c r="P54" s="671">
        <f>+landbouw!O12</f>
        <v>0</v>
      </c>
      <c r="Q54" s="672">
        <f>+landbouw!P12</f>
        <v>0</v>
      </c>
      <c r="R54" s="699">
        <f ca="1">SUM(C54:Q54)</f>
        <v>942.88587798415415</v>
      </c>
    </row>
    <row r="55" spans="1:18" ht="15" thickBot="1">
      <c r="A55" s="793" t="s">
        <v>808</v>
      </c>
      <c r="B55" s="803"/>
      <c r="C55" s="671">
        <f ca="1">C25*'EF ele_warmte'!B12</f>
        <v>87.586552026063572</v>
      </c>
      <c r="D55" s="671"/>
      <c r="E55" s="671">
        <f>E25*EF_CO2_aardgas</f>
        <v>266.05135919780162</v>
      </c>
      <c r="F55" s="671"/>
      <c r="G55" s="671"/>
      <c r="H55" s="671"/>
      <c r="I55" s="671"/>
      <c r="J55" s="671"/>
      <c r="K55" s="671"/>
      <c r="L55" s="671"/>
      <c r="M55" s="671"/>
      <c r="N55" s="671"/>
      <c r="O55" s="671"/>
      <c r="P55" s="671"/>
      <c r="Q55" s="672"/>
      <c r="R55" s="699">
        <f ca="1">SUM(C55:Q55)</f>
        <v>353.63791122386522</v>
      </c>
    </row>
    <row r="56" spans="1:18" ht="15.75" thickBot="1">
      <c r="A56" s="791" t="s">
        <v>809</v>
      </c>
      <c r="B56" s="804"/>
      <c r="C56" s="700">
        <f ca="1">SUM(C54:C55)</f>
        <v>221.53481879774574</v>
      </c>
      <c r="D56" s="700">
        <f t="shared" ref="D56:Q56" ca="1" si="7">SUM(D54:D55)</f>
        <v>0</v>
      </c>
      <c r="E56" s="700">
        <f t="shared" si="7"/>
        <v>300.52816929315378</v>
      </c>
      <c r="F56" s="700">
        <f t="shared" si="7"/>
        <v>4.4155533265761804</v>
      </c>
      <c r="G56" s="700">
        <f t="shared" si="7"/>
        <v>736.1044664183454</v>
      </c>
      <c r="H56" s="700">
        <f t="shared" si="7"/>
        <v>0</v>
      </c>
      <c r="I56" s="700">
        <f t="shared" si="7"/>
        <v>0</v>
      </c>
      <c r="J56" s="700">
        <f t="shared" si="7"/>
        <v>0</v>
      </c>
      <c r="K56" s="700">
        <f t="shared" si="7"/>
        <v>33.940781372198209</v>
      </c>
      <c r="L56" s="700">
        <f t="shared" si="7"/>
        <v>0</v>
      </c>
      <c r="M56" s="700">
        <f t="shared" si="7"/>
        <v>0</v>
      </c>
      <c r="N56" s="700">
        <f t="shared" si="7"/>
        <v>0</v>
      </c>
      <c r="O56" s="700">
        <f t="shared" si="7"/>
        <v>0</v>
      </c>
      <c r="P56" s="700">
        <f t="shared" si="7"/>
        <v>0</v>
      </c>
      <c r="Q56" s="701">
        <f t="shared" si="7"/>
        <v>0</v>
      </c>
      <c r="R56" s="702">
        <f ca="1">SUM(R54:R55)</f>
        <v>1296.5237892080195</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6742.756583631558</v>
      </c>
      <c r="D61" s="708">
        <f t="shared" ref="D61:Q61" ca="1" si="8">D46+D52+D56</f>
        <v>0</v>
      </c>
      <c r="E61" s="708">
        <f t="shared" ca="1" si="8"/>
        <v>10611.603608570887</v>
      </c>
      <c r="F61" s="708">
        <f t="shared" si="8"/>
        <v>423.88047373133463</v>
      </c>
      <c r="G61" s="708">
        <f t="shared" ca="1" si="8"/>
        <v>9228.1635456619988</v>
      </c>
      <c r="H61" s="708">
        <f t="shared" si="8"/>
        <v>29405.978330755395</v>
      </c>
      <c r="I61" s="708">
        <f t="shared" si="8"/>
        <v>5837.3651659666612</v>
      </c>
      <c r="J61" s="708">
        <f t="shared" si="8"/>
        <v>0</v>
      </c>
      <c r="K61" s="708">
        <f t="shared" si="8"/>
        <v>83.907144070413636</v>
      </c>
      <c r="L61" s="708">
        <f t="shared" si="8"/>
        <v>0</v>
      </c>
      <c r="M61" s="708">
        <f t="shared" ca="1" si="8"/>
        <v>0</v>
      </c>
      <c r="N61" s="708">
        <f t="shared" si="8"/>
        <v>0</v>
      </c>
      <c r="O61" s="708">
        <f t="shared" ca="1" si="8"/>
        <v>0</v>
      </c>
      <c r="P61" s="708">
        <f t="shared" si="8"/>
        <v>0</v>
      </c>
      <c r="Q61" s="708">
        <f t="shared" si="8"/>
        <v>0</v>
      </c>
      <c r="R61" s="708">
        <f ca="1">R46+R52+R56</f>
        <v>62333.654852388245</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0.20240560707601421</v>
      </c>
      <c r="D63" s="749">
        <f t="shared" ca="1" si="9"/>
        <v>0</v>
      </c>
      <c r="E63" s="984">
        <f t="shared" ca="1" si="9"/>
        <v>0.20200000000000001</v>
      </c>
      <c r="F63" s="749">
        <f t="shared" si="9"/>
        <v>0.22700000000000001</v>
      </c>
      <c r="G63" s="749">
        <f t="shared" ca="1" si="9"/>
        <v>0.26699999999999996</v>
      </c>
      <c r="H63" s="749">
        <f t="shared" si="9"/>
        <v>0.26700000000000002</v>
      </c>
      <c r="I63" s="749">
        <f t="shared" si="9"/>
        <v>0.24899999999999997</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2802.8810848564681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2802.8810848564681</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17338.519039034625</v>
      </c>
      <c r="C4" s="445">
        <f>huishoudens!C8</f>
        <v>0</v>
      </c>
      <c r="D4" s="445">
        <f>huishoudens!D8</f>
        <v>31888.078585798699</v>
      </c>
      <c r="E4" s="445">
        <f>huishoudens!E8</f>
        <v>1148.0102688572547</v>
      </c>
      <c r="F4" s="445">
        <f>huishoudens!F8</f>
        <v>29085.434234968212</v>
      </c>
      <c r="G4" s="445">
        <f>huishoudens!G8</f>
        <v>0</v>
      </c>
      <c r="H4" s="445">
        <f>huishoudens!H8</f>
        <v>0</v>
      </c>
      <c r="I4" s="445">
        <f>huishoudens!I8</f>
        <v>0</v>
      </c>
      <c r="J4" s="445">
        <f>huishoudens!J8</f>
        <v>139.95584640882277</v>
      </c>
      <c r="K4" s="445">
        <f>huishoudens!K8</f>
        <v>0</v>
      </c>
      <c r="L4" s="445">
        <f>huishoudens!L8</f>
        <v>0</v>
      </c>
      <c r="M4" s="445">
        <f>huishoudens!M8</f>
        <v>0</v>
      </c>
      <c r="N4" s="445">
        <f>huishoudens!N8</f>
        <v>5841.8675361363621</v>
      </c>
      <c r="O4" s="445">
        <f>huishoudens!O8</f>
        <v>201.67000000000004</v>
      </c>
      <c r="P4" s="446">
        <f>huishoudens!P8</f>
        <v>514.79999999999995</v>
      </c>
      <c r="Q4" s="447">
        <f>SUM(B4:P4)</f>
        <v>86158.335511203972</v>
      </c>
    </row>
    <row r="5" spans="1:17">
      <c r="A5" s="444" t="s">
        <v>155</v>
      </c>
      <c r="B5" s="445">
        <f ca="1">tertiair!B16</f>
        <v>13430.044765867868</v>
      </c>
      <c r="C5" s="445">
        <f ca="1">tertiair!C16</f>
        <v>0</v>
      </c>
      <c r="D5" s="445">
        <f ca="1">tertiair!D16</f>
        <v>18088.527343262947</v>
      </c>
      <c r="E5" s="445">
        <f>tertiair!E16</f>
        <v>270.42169170099811</v>
      </c>
      <c r="F5" s="445">
        <f ca="1">tertiair!F16</f>
        <v>2285.9497569749742</v>
      </c>
      <c r="G5" s="445">
        <f>tertiair!G16</f>
        <v>0</v>
      </c>
      <c r="H5" s="445">
        <f>tertiair!H16</f>
        <v>0</v>
      </c>
      <c r="I5" s="445">
        <f>tertiair!I16</f>
        <v>0</v>
      </c>
      <c r="J5" s="445">
        <f>tertiair!J16</f>
        <v>1.755807456940044E-2</v>
      </c>
      <c r="K5" s="445">
        <f>tertiair!K16</f>
        <v>0</v>
      </c>
      <c r="L5" s="445">
        <f ca="1">tertiair!L16</f>
        <v>0</v>
      </c>
      <c r="M5" s="445">
        <f>tertiair!M16</f>
        <v>0</v>
      </c>
      <c r="N5" s="445">
        <f ca="1">tertiair!N16</f>
        <v>711.00290783544403</v>
      </c>
      <c r="O5" s="445">
        <f>tertiair!O16</f>
        <v>4.6900000000000004</v>
      </c>
      <c r="P5" s="446">
        <f>tertiair!P16</f>
        <v>38.133333333333333</v>
      </c>
      <c r="Q5" s="444">
        <f t="shared" ref="Q5:Q14" ca="1" si="0">SUM(B5:P5)</f>
        <v>34828.787357050132</v>
      </c>
    </row>
    <row r="6" spans="1:17">
      <c r="A6" s="444" t="s">
        <v>193</v>
      </c>
      <c r="B6" s="445">
        <f>'openbare verlichting'!B8</f>
        <v>500.34500000000003</v>
      </c>
      <c r="C6" s="445"/>
      <c r="D6" s="445"/>
      <c r="E6" s="445"/>
      <c r="F6" s="445"/>
      <c r="G6" s="445"/>
      <c r="H6" s="445"/>
      <c r="I6" s="445"/>
      <c r="J6" s="445"/>
      <c r="K6" s="445"/>
      <c r="L6" s="445"/>
      <c r="M6" s="445"/>
      <c r="N6" s="445"/>
      <c r="O6" s="445"/>
      <c r="P6" s="446"/>
      <c r="Q6" s="444">
        <f t="shared" si="0"/>
        <v>500.34500000000003</v>
      </c>
    </row>
    <row r="7" spans="1:17">
      <c r="A7" s="444" t="s">
        <v>111</v>
      </c>
      <c r="B7" s="445">
        <f>landbouw!B8</f>
        <v>661.7814037205867</v>
      </c>
      <c r="C7" s="445">
        <f>landbouw!C8</f>
        <v>0</v>
      </c>
      <c r="D7" s="445">
        <f>landbouw!D8</f>
        <v>170.67727769976327</v>
      </c>
      <c r="E7" s="445">
        <f>landbouw!E8</f>
        <v>19.451776769058064</v>
      </c>
      <c r="F7" s="445">
        <f>landbouw!F8</f>
        <v>2756.9455671099076</v>
      </c>
      <c r="G7" s="445">
        <f>landbouw!G8</f>
        <v>0</v>
      </c>
      <c r="H7" s="445">
        <f>landbouw!H8</f>
        <v>0</v>
      </c>
      <c r="I7" s="445">
        <f>landbouw!I8</f>
        <v>0</v>
      </c>
      <c r="J7" s="445">
        <f>landbouw!J8</f>
        <v>95.877913480785907</v>
      </c>
      <c r="K7" s="445">
        <f>landbouw!K8</f>
        <v>0</v>
      </c>
      <c r="L7" s="445">
        <f>landbouw!L8</f>
        <v>0</v>
      </c>
      <c r="M7" s="445">
        <f>landbouw!M8</f>
        <v>0</v>
      </c>
      <c r="N7" s="445">
        <f>landbouw!N8</f>
        <v>0</v>
      </c>
      <c r="O7" s="445">
        <f>landbouw!O8</f>
        <v>0</v>
      </c>
      <c r="P7" s="446">
        <f>landbouw!P8</f>
        <v>0</v>
      </c>
      <c r="Q7" s="444">
        <f t="shared" si="0"/>
        <v>3704.7339387801017</v>
      </c>
    </row>
    <row r="8" spans="1:17">
      <c r="A8" s="444" t="s">
        <v>627</v>
      </c>
      <c r="B8" s="445">
        <f>industrie!B18</f>
        <v>834.558800147488</v>
      </c>
      <c r="C8" s="445">
        <f>industrie!C18</f>
        <v>0</v>
      </c>
      <c r="D8" s="445">
        <f>industrie!D18</f>
        <v>925.87553163987434</v>
      </c>
      <c r="E8" s="445">
        <f>industrie!E18</f>
        <v>151.05300055829201</v>
      </c>
      <c r="F8" s="445">
        <f>industrie!F18</f>
        <v>434.08072432518168</v>
      </c>
      <c r="G8" s="445">
        <f>industrie!G18</f>
        <v>0</v>
      </c>
      <c r="H8" s="445">
        <f>industrie!H18</f>
        <v>0</v>
      </c>
      <c r="I8" s="445">
        <f>industrie!I18</f>
        <v>0</v>
      </c>
      <c r="J8" s="445">
        <f>industrie!J18</f>
        <v>1.1745127432050799</v>
      </c>
      <c r="K8" s="445">
        <f>industrie!K18</f>
        <v>0</v>
      </c>
      <c r="L8" s="445">
        <f>industrie!L18</f>
        <v>0</v>
      </c>
      <c r="M8" s="445">
        <f>industrie!M18</f>
        <v>0</v>
      </c>
      <c r="N8" s="445">
        <f>industrie!N18</f>
        <v>59.330762108881245</v>
      </c>
      <c r="O8" s="445">
        <f>industrie!O18</f>
        <v>0</v>
      </c>
      <c r="P8" s="446">
        <f>industrie!P18</f>
        <v>0</v>
      </c>
      <c r="Q8" s="444">
        <f t="shared" si="0"/>
        <v>2406.0733315229222</v>
      </c>
    </row>
    <row r="9" spans="1:17" s="450" customFormat="1">
      <c r="A9" s="448" t="s">
        <v>553</v>
      </c>
      <c r="B9" s="449">
        <f>transport!B14</f>
        <v>91.555683927937437</v>
      </c>
      <c r="C9" s="449">
        <f>transport!C14</f>
        <v>0</v>
      </c>
      <c r="D9" s="449">
        <f>transport!D14</f>
        <v>142.44645651498146</v>
      </c>
      <c r="E9" s="449">
        <f>transport!E14</f>
        <v>278.37812436697266</v>
      </c>
      <c r="F9" s="449">
        <f>transport!F14</f>
        <v>0</v>
      </c>
      <c r="G9" s="449">
        <f>transport!G14</f>
        <v>107921.58940767146</v>
      </c>
      <c r="H9" s="449">
        <f>transport!H14</f>
        <v>23443.233598259685</v>
      </c>
      <c r="I9" s="449">
        <f>transport!I14</f>
        <v>0</v>
      </c>
      <c r="J9" s="449">
        <f>transport!J14</f>
        <v>0</v>
      </c>
      <c r="K9" s="449">
        <f>transport!K14</f>
        <v>0</v>
      </c>
      <c r="L9" s="449">
        <f>transport!L14</f>
        <v>0</v>
      </c>
      <c r="M9" s="449">
        <f>transport!M14</f>
        <v>6995.5423926562235</v>
      </c>
      <c r="N9" s="449">
        <f>transport!N14</f>
        <v>0</v>
      </c>
      <c r="O9" s="449">
        <f>transport!O14</f>
        <v>0</v>
      </c>
      <c r="P9" s="449">
        <f>transport!P14</f>
        <v>0</v>
      </c>
      <c r="Q9" s="448">
        <f>SUM(B9:P9)</f>
        <v>138872.74566339728</v>
      </c>
    </row>
    <row r="10" spans="1:17">
      <c r="A10" s="444" t="s">
        <v>543</v>
      </c>
      <c r="B10" s="445">
        <f>transport!B54</f>
        <v>23.559284106342286</v>
      </c>
      <c r="C10" s="445">
        <f>transport!C54</f>
        <v>0</v>
      </c>
      <c r="D10" s="445">
        <f>transport!D54</f>
        <v>0</v>
      </c>
      <c r="E10" s="445">
        <f>transport!E54</f>
        <v>0</v>
      </c>
      <c r="F10" s="445">
        <f>transport!F54</f>
        <v>0</v>
      </c>
      <c r="G10" s="445">
        <f>transport!G54</f>
        <v>2213.1608947831955</v>
      </c>
      <c r="H10" s="445">
        <f>transport!H54</f>
        <v>0</v>
      </c>
      <c r="I10" s="445">
        <f>transport!I54</f>
        <v>0</v>
      </c>
      <c r="J10" s="445">
        <f>transport!J54</f>
        <v>0</v>
      </c>
      <c r="K10" s="445">
        <f>transport!K54</f>
        <v>0</v>
      </c>
      <c r="L10" s="445">
        <f>transport!L54</f>
        <v>0</v>
      </c>
      <c r="M10" s="445">
        <f>transport!M54</f>
        <v>127.44929087950959</v>
      </c>
      <c r="N10" s="445">
        <f>transport!N54</f>
        <v>0</v>
      </c>
      <c r="O10" s="445">
        <f>transport!O54</f>
        <v>0</v>
      </c>
      <c r="P10" s="446">
        <f>transport!P54</f>
        <v>0</v>
      </c>
      <c r="Q10" s="444">
        <f t="shared" si="0"/>
        <v>2364.1694697690473</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432.72789371477302</v>
      </c>
      <c r="C14" s="452"/>
      <c r="D14" s="452">
        <f>'SEAP template'!E25</f>
        <v>1317.0859366227801</v>
      </c>
      <c r="E14" s="452"/>
      <c r="F14" s="452"/>
      <c r="G14" s="452"/>
      <c r="H14" s="452"/>
      <c r="I14" s="452"/>
      <c r="J14" s="452"/>
      <c r="K14" s="452"/>
      <c r="L14" s="452"/>
      <c r="M14" s="452"/>
      <c r="N14" s="452"/>
      <c r="O14" s="452"/>
      <c r="P14" s="453"/>
      <c r="Q14" s="444">
        <f t="shared" si="0"/>
        <v>1749.8138303375531</v>
      </c>
    </row>
    <row r="15" spans="1:17" s="454" customFormat="1">
      <c r="A15" s="999" t="s">
        <v>547</v>
      </c>
      <c r="B15" s="947">
        <f ca="1">SUM(B4:B14)</f>
        <v>33313.091870519616</v>
      </c>
      <c r="C15" s="947">
        <f t="shared" ref="C15:Q15" ca="1" si="1">SUM(C4:C14)</f>
        <v>0</v>
      </c>
      <c r="D15" s="947">
        <f t="shared" ca="1" si="1"/>
        <v>52532.691131539046</v>
      </c>
      <c r="E15" s="947">
        <f t="shared" si="1"/>
        <v>1867.3148622525755</v>
      </c>
      <c r="F15" s="947">
        <f t="shared" ca="1" si="1"/>
        <v>34562.410283378274</v>
      </c>
      <c r="G15" s="947">
        <f t="shared" si="1"/>
        <v>110134.75030245466</v>
      </c>
      <c r="H15" s="947">
        <f t="shared" si="1"/>
        <v>23443.233598259685</v>
      </c>
      <c r="I15" s="947">
        <f t="shared" si="1"/>
        <v>0</v>
      </c>
      <c r="J15" s="947">
        <f t="shared" si="1"/>
        <v>237.02583070738314</v>
      </c>
      <c r="K15" s="947">
        <f t="shared" si="1"/>
        <v>0</v>
      </c>
      <c r="L15" s="947">
        <f t="shared" ca="1" si="1"/>
        <v>0</v>
      </c>
      <c r="M15" s="947">
        <f t="shared" si="1"/>
        <v>7122.9916835357326</v>
      </c>
      <c r="N15" s="947">
        <f t="shared" ca="1" si="1"/>
        <v>6612.2012060806874</v>
      </c>
      <c r="O15" s="947">
        <f t="shared" si="1"/>
        <v>206.36000000000004</v>
      </c>
      <c r="P15" s="947">
        <f t="shared" si="1"/>
        <v>552.93333333333328</v>
      </c>
      <c r="Q15" s="947">
        <f t="shared" ca="1" si="1"/>
        <v>270585.00410206104</v>
      </c>
    </row>
    <row r="17" spans="1:17">
      <c r="A17" s="455" t="s">
        <v>548</v>
      </c>
      <c r="B17" s="754">
        <f ca="1">huishoudens!B10</f>
        <v>0.20240560707601418</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3509.4134718948335</v>
      </c>
      <c r="C22" s="445">
        <f t="shared" ref="C22:C32" ca="1" si="3">C4*$C$17</f>
        <v>0</v>
      </c>
      <c r="D22" s="445">
        <f t="shared" ref="D22:D32" si="4">D4*$D$17</f>
        <v>6441.3918743313379</v>
      </c>
      <c r="E22" s="445">
        <f t="shared" ref="E22:E32" si="5">E4*$E$17</f>
        <v>260.5983310305968</v>
      </c>
      <c r="F22" s="445">
        <f t="shared" ref="F22:F32" si="6">F4*$F$17</f>
        <v>7765.8109407365127</v>
      </c>
      <c r="G22" s="445">
        <f t="shared" ref="G22:G32" si="7">G4*$G$17</f>
        <v>0</v>
      </c>
      <c r="H22" s="445">
        <f t="shared" ref="H22:H32" si="8">H4*$H$17</f>
        <v>0</v>
      </c>
      <c r="I22" s="445">
        <f t="shared" ref="I22:I32" si="9">I4*$I$17</f>
        <v>0</v>
      </c>
      <c r="J22" s="445">
        <f t="shared" ref="J22:J32" si="10">J4*$J$17</f>
        <v>49.54436962872326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18026.758987622001</v>
      </c>
    </row>
    <row r="23" spans="1:17">
      <c r="A23" s="444" t="s">
        <v>155</v>
      </c>
      <c r="B23" s="445">
        <f t="shared" ca="1" si="2"/>
        <v>2718.3163638935325</v>
      </c>
      <c r="C23" s="445">
        <f t="shared" ca="1" si="3"/>
        <v>0</v>
      </c>
      <c r="D23" s="445">
        <f t="shared" ca="1" si="4"/>
        <v>3653.8825233391158</v>
      </c>
      <c r="E23" s="445">
        <f t="shared" si="5"/>
        <v>61.385724016126574</v>
      </c>
      <c r="F23" s="445">
        <f t="shared" ca="1" si="6"/>
        <v>610.34858511231812</v>
      </c>
      <c r="G23" s="445">
        <f t="shared" si="7"/>
        <v>0</v>
      </c>
      <c r="H23" s="445">
        <f t="shared" si="8"/>
        <v>0</v>
      </c>
      <c r="I23" s="445">
        <f t="shared" si="9"/>
        <v>0</v>
      </c>
      <c r="J23" s="445">
        <f t="shared" si="10"/>
        <v>6.2155583975677551E-3</v>
      </c>
      <c r="K23" s="445">
        <f t="shared" si="11"/>
        <v>0</v>
      </c>
      <c r="L23" s="445">
        <f t="shared" ca="1" si="12"/>
        <v>0</v>
      </c>
      <c r="M23" s="445">
        <f t="shared" si="13"/>
        <v>0</v>
      </c>
      <c r="N23" s="445">
        <f t="shared" ca="1" si="14"/>
        <v>0</v>
      </c>
      <c r="O23" s="445">
        <f t="shared" si="15"/>
        <v>0</v>
      </c>
      <c r="P23" s="446">
        <f t="shared" si="16"/>
        <v>0</v>
      </c>
      <c r="Q23" s="444">
        <f t="shared" ref="Q23:Q32" ca="1" si="17">SUM(B23:P23)</f>
        <v>7043.9394119194903</v>
      </c>
    </row>
    <row r="24" spans="1:17">
      <c r="A24" s="444" t="s">
        <v>193</v>
      </c>
      <c r="B24" s="445">
        <f t="shared" ca="1" si="2"/>
        <v>101.27263347244832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101.27263347244832</v>
      </c>
    </row>
    <row r="25" spans="1:17">
      <c r="A25" s="444" t="s">
        <v>111</v>
      </c>
      <c r="B25" s="445">
        <f t="shared" ca="1" si="2"/>
        <v>133.94826677168217</v>
      </c>
      <c r="C25" s="445">
        <f t="shared" ca="1" si="3"/>
        <v>0</v>
      </c>
      <c r="D25" s="445">
        <f t="shared" si="4"/>
        <v>34.476810095352185</v>
      </c>
      <c r="E25" s="445">
        <f t="shared" si="5"/>
        <v>4.4155533265761804</v>
      </c>
      <c r="F25" s="445">
        <f t="shared" si="6"/>
        <v>736.1044664183454</v>
      </c>
      <c r="G25" s="445">
        <f t="shared" si="7"/>
        <v>0</v>
      </c>
      <c r="H25" s="445">
        <f t="shared" si="8"/>
        <v>0</v>
      </c>
      <c r="I25" s="445">
        <f t="shared" si="9"/>
        <v>0</v>
      </c>
      <c r="J25" s="445">
        <f t="shared" si="10"/>
        <v>33.940781372198209</v>
      </c>
      <c r="K25" s="445">
        <f t="shared" si="11"/>
        <v>0</v>
      </c>
      <c r="L25" s="445">
        <f t="shared" si="12"/>
        <v>0</v>
      </c>
      <c r="M25" s="445">
        <f t="shared" si="13"/>
        <v>0</v>
      </c>
      <c r="N25" s="445">
        <f t="shared" si="14"/>
        <v>0</v>
      </c>
      <c r="O25" s="445">
        <f t="shared" si="15"/>
        <v>0</v>
      </c>
      <c r="P25" s="446">
        <f t="shared" si="16"/>
        <v>0</v>
      </c>
      <c r="Q25" s="444">
        <f t="shared" ca="1" si="17"/>
        <v>942.88587798415415</v>
      </c>
    </row>
    <row r="26" spans="1:17">
      <c r="A26" s="444" t="s">
        <v>627</v>
      </c>
      <c r="B26" s="445">
        <f t="shared" ca="1" si="2"/>
        <v>168.9193805844823</v>
      </c>
      <c r="C26" s="445">
        <f t="shared" ca="1" si="3"/>
        <v>0</v>
      </c>
      <c r="D26" s="445">
        <f t="shared" si="4"/>
        <v>187.02685739125462</v>
      </c>
      <c r="E26" s="445">
        <f t="shared" si="5"/>
        <v>34.28903112673229</v>
      </c>
      <c r="F26" s="445">
        <f t="shared" si="6"/>
        <v>115.89955339482351</v>
      </c>
      <c r="G26" s="445">
        <f t="shared" si="7"/>
        <v>0</v>
      </c>
      <c r="H26" s="445">
        <f t="shared" si="8"/>
        <v>0</v>
      </c>
      <c r="I26" s="445">
        <f t="shared" si="9"/>
        <v>0</v>
      </c>
      <c r="J26" s="445">
        <f t="shared" si="10"/>
        <v>0.41577751109459826</v>
      </c>
      <c r="K26" s="445">
        <f t="shared" si="11"/>
        <v>0</v>
      </c>
      <c r="L26" s="445">
        <f t="shared" si="12"/>
        <v>0</v>
      </c>
      <c r="M26" s="445">
        <f t="shared" si="13"/>
        <v>0</v>
      </c>
      <c r="N26" s="445">
        <f t="shared" si="14"/>
        <v>0</v>
      </c>
      <c r="O26" s="445">
        <f t="shared" si="15"/>
        <v>0</v>
      </c>
      <c r="P26" s="446">
        <f t="shared" si="16"/>
        <v>0</v>
      </c>
      <c r="Q26" s="444">
        <f t="shared" ca="1" si="17"/>
        <v>506.55060000838733</v>
      </c>
    </row>
    <row r="27" spans="1:17" s="450" customFormat="1">
      <c r="A27" s="448" t="s">
        <v>553</v>
      </c>
      <c r="B27" s="748">
        <f t="shared" ca="1" si="2"/>
        <v>18.531383786693851</v>
      </c>
      <c r="C27" s="449">
        <f t="shared" ca="1" si="3"/>
        <v>0</v>
      </c>
      <c r="D27" s="449">
        <f t="shared" si="4"/>
        <v>28.774184216026256</v>
      </c>
      <c r="E27" s="449">
        <f t="shared" si="5"/>
        <v>63.191834231302792</v>
      </c>
      <c r="F27" s="449">
        <f t="shared" si="6"/>
        <v>0</v>
      </c>
      <c r="G27" s="449">
        <f t="shared" si="7"/>
        <v>28815.064371848282</v>
      </c>
      <c r="H27" s="449">
        <f t="shared" si="8"/>
        <v>5837.3651659666612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34762.926940048965</v>
      </c>
    </row>
    <row r="28" spans="1:17">
      <c r="A28" s="444" t="s">
        <v>543</v>
      </c>
      <c r="B28" s="445">
        <f t="shared" ca="1" si="2"/>
        <v>4.7685312018205028</v>
      </c>
      <c r="C28" s="445">
        <f t="shared" ca="1" si="3"/>
        <v>0</v>
      </c>
      <c r="D28" s="445">
        <f t="shared" si="4"/>
        <v>0</v>
      </c>
      <c r="E28" s="445">
        <f t="shared" si="5"/>
        <v>0</v>
      </c>
      <c r="F28" s="445">
        <f t="shared" si="6"/>
        <v>0</v>
      </c>
      <c r="G28" s="445">
        <f t="shared" si="7"/>
        <v>590.91395890711328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595.68249010893373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87.586552026063572</v>
      </c>
      <c r="C32" s="445">
        <f t="shared" ca="1" si="3"/>
        <v>0</v>
      </c>
      <c r="D32" s="445">
        <f t="shared" si="4"/>
        <v>266.05135919780162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353.63791122386522</v>
      </c>
    </row>
    <row r="33" spans="1:17" s="454" customFormat="1">
      <c r="A33" s="999" t="s">
        <v>547</v>
      </c>
      <c r="B33" s="947">
        <f ca="1">SUM(B22:B32)</f>
        <v>6742.7565836315571</v>
      </c>
      <c r="C33" s="947">
        <f t="shared" ref="C33:Q33" ca="1" si="18">SUM(C22:C32)</f>
        <v>0</v>
      </c>
      <c r="D33" s="947">
        <f t="shared" ca="1" si="18"/>
        <v>10611.603608570887</v>
      </c>
      <c r="E33" s="947">
        <f t="shared" si="18"/>
        <v>423.88047373133463</v>
      </c>
      <c r="F33" s="947">
        <f t="shared" ca="1" si="18"/>
        <v>9228.1635456619988</v>
      </c>
      <c r="G33" s="947">
        <f t="shared" si="18"/>
        <v>29405.978330755395</v>
      </c>
      <c r="H33" s="947">
        <f t="shared" si="18"/>
        <v>5837.3651659666612</v>
      </c>
      <c r="I33" s="947">
        <f t="shared" si="18"/>
        <v>0</v>
      </c>
      <c r="J33" s="947">
        <f t="shared" si="18"/>
        <v>83.907144070413636</v>
      </c>
      <c r="K33" s="947">
        <f t="shared" si="18"/>
        <v>0</v>
      </c>
      <c r="L33" s="947">
        <f t="shared" ca="1" si="18"/>
        <v>0</v>
      </c>
      <c r="M33" s="947">
        <f t="shared" si="18"/>
        <v>0</v>
      </c>
      <c r="N33" s="947">
        <f t="shared" ca="1" si="18"/>
        <v>0</v>
      </c>
      <c r="O33" s="947">
        <f t="shared" si="18"/>
        <v>0</v>
      </c>
      <c r="P33" s="947">
        <f t="shared" si="18"/>
        <v>0</v>
      </c>
      <c r="Q33" s="947">
        <f t="shared" ca="1" si="18"/>
        <v>62333.654852388245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2802.8810848564681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2802.8810848564681</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0.20240560707601418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0.20240560707601418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0.20240560707601418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0.20240560707601418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3837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2054.59</v>
      </c>
      <c r="C14" s="324"/>
      <c r="D14" s="324"/>
      <c r="E14" s="324"/>
      <c r="F14" s="324"/>
    </row>
    <row r="15" spans="1:6">
      <c r="A15" s="1291" t="s">
        <v>183</v>
      </c>
      <c r="B15" s="1292">
        <v>3</v>
      </c>
      <c r="C15" s="324"/>
      <c r="D15" s="324"/>
      <c r="E15" s="324"/>
      <c r="F15" s="324"/>
    </row>
    <row r="16" spans="1:6">
      <c r="A16" s="1291" t="s">
        <v>6</v>
      </c>
      <c r="B16" s="1292">
        <v>55</v>
      </c>
      <c r="C16" s="324"/>
      <c r="D16" s="324"/>
      <c r="E16" s="324"/>
      <c r="F16" s="324"/>
    </row>
    <row r="17" spans="1:6">
      <c r="A17" s="1291" t="s">
        <v>7</v>
      </c>
      <c r="B17" s="1292">
        <v>157</v>
      </c>
      <c r="C17" s="324"/>
      <c r="D17" s="324"/>
      <c r="E17" s="324"/>
      <c r="F17" s="324"/>
    </row>
    <row r="18" spans="1:6">
      <c r="A18" s="1291" t="s">
        <v>8</v>
      </c>
      <c r="B18" s="1292">
        <v>144</v>
      </c>
      <c r="C18" s="324"/>
      <c r="D18" s="324"/>
      <c r="E18" s="324"/>
      <c r="F18" s="324"/>
    </row>
    <row r="19" spans="1:6">
      <c r="A19" s="1291" t="s">
        <v>9</v>
      </c>
      <c r="B19" s="1292">
        <v>219</v>
      </c>
      <c r="C19" s="324"/>
      <c r="D19" s="324"/>
      <c r="E19" s="324"/>
      <c r="F19" s="324"/>
    </row>
    <row r="20" spans="1:6">
      <c r="A20" s="1291" t="s">
        <v>10</v>
      </c>
      <c r="B20" s="1292">
        <v>106</v>
      </c>
      <c r="C20" s="324"/>
      <c r="D20" s="324"/>
      <c r="E20" s="324"/>
      <c r="F20" s="324"/>
    </row>
    <row r="21" spans="1:6">
      <c r="A21" s="1291" t="s">
        <v>11</v>
      </c>
      <c r="B21" s="1292">
        <v>1942</v>
      </c>
      <c r="C21" s="324"/>
      <c r="D21" s="324"/>
      <c r="E21" s="324"/>
      <c r="F21" s="324"/>
    </row>
    <row r="22" spans="1:6">
      <c r="A22" s="1291" t="s">
        <v>12</v>
      </c>
      <c r="B22" s="1292">
        <v>2787</v>
      </c>
      <c r="C22" s="324"/>
      <c r="D22" s="324"/>
      <c r="E22" s="324"/>
      <c r="F22" s="324"/>
    </row>
    <row r="23" spans="1:6">
      <c r="A23" s="1291" t="s">
        <v>13</v>
      </c>
      <c r="B23" s="1292">
        <v>15</v>
      </c>
      <c r="C23" s="324"/>
      <c r="D23" s="324"/>
      <c r="E23" s="324"/>
      <c r="F23" s="324"/>
    </row>
    <row r="24" spans="1:6">
      <c r="A24" s="1291" t="s">
        <v>14</v>
      </c>
      <c r="B24" s="1292">
        <v>1</v>
      </c>
      <c r="C24" s="324"/>
      <c r="D24" s="324"/>
      <c r="E24" s="324"/>
      <c r="F24" s="324"/>
    </row>
    <row r="25" spans="1:6">
      <c r="A25" s="1291" t="s">
        <v>15</v>
      </c>
      <c r="B25" s="1292">
        <v>84</v>
      </c>
      <c r="C25" s="324"/>
      <c r="D25" s="324"/>
      <c r="E25" s="324"/>
      <c r="F25" s="324"/>
    </row>
    <row r="26" spans="1:6">
      <c r="A26" s="1291" t="s">
        <v>16</v>
      </c>
      <c r="B26" s="1292">
        <v>324</v>
      </c>
      <c r="C26" s="324"/>
      <c r="D26" s="324"/>
      <c r="E26" s="324"/>
      <c r="F26" s="324"/>
    </row>
    <row r="27" spans="1:6">
      <c r="A27" s="1291" t="s">
        <v>17</v>
      </c>
      <c r="B27" s="1292">
        <v>30</v>
      </c>
      <c r="C27" s="324"/>
      <c r="D27" s="324"/>
      <c r="E27" s="324"/>
      <c r="F27" s="324"/>
    </row>
    <row r="28" spans="1:6" s="43" customFormat="1">
      <c r="A28" s="1293" t="s">
        <v>18</v>
      </c>
      <c r="B28" s="1294">
        <v>13297</v>
      </c>
      <c r="C28" s="330"/>
      <c r="D28" s="330"/>
      <c r="E28" s="330"/>
      <c r="F28" s="330"/>
    </row>
    <row r="29" spans="1:6">
      <c r="A29" s="1293" t="s">
        <v>722</v>
      </c>
      <c r="B29" s="1294">
        <v>88</v>
      </c>
      <c r="C29" s="330"/>
      <c r="D29" s="330"/>
      <c r="E29" s="330"/>
      <c r="F29" s="330"/>
    </row>
    <row r="30" spans="1:6">
      <c r="A30" s="1286" t="s">
        <v>723</v>
      </c>
      <c r="B30" s="1295">
        <v>33</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1933</v>
      </c>
      <c r="D39" s="1292">
        <v>35352637.013080597</v>
      </c>
      <c r="E39" s="1292">
        <v>3568</v>
      </c>
      <c r="F39" s="1292">
        <v>14799900.237297</v>
      </c>
    </row>
    <row r="40" spans="1:6">
      <c r="A40" s="1291" t="s">
        <v>29</v>
      </c>
      <c r="B40" s="1291" t="s">
        <v>28</v>
      </c>
      <c r="C40" s="1292">
        <v>0</v>
      </c>
      <c r="D40" s="1292">
        <v>0</v>
      </c>
      <c r="E40" s="1292">
        <v>0</v>
      </c>
      <c r="F40" s="1292">
        <v>0</v>
      </c>
    </row>
    <row r="41" spans="1:6">
      <c r="A41" s="1291" t="s">
        <v>31</v>
      </c>
      <c r="B41" s="1291" t="s">
        <v>32</v>
      </c>
      <c r="C41" s="1292">
        <v>15</v>
      </c>
      <c r="D41" s="1292">
        <v>404324.02623432298</v>
      </c>
      <c r="E41" s="1292">
        <v>54</v>
      </c>
      <c r="F41" s="1292">
        <v>453089.872266808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53391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17</v>
      </c>
      <c r="D48" s="1292">
        <v>622145.52103826497</v>
      </c>
      <c r="E48" s="1292">
        <v>24</v>
      </c>
      <c r="F48" s="1292">
        <v>328077.92788068001</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6</v>
      </c>
      <c r="D51" s="1292">
        <v>125027.354193062</v>
      </c>
      <c r="E51" s="1292">
        <v>48</v>
      </c>
      <c r="F51" s="1292">
        <v>603311.19556987705</v>
      </c>
    </row>
    <row r="52" spans="1:6">
      <c r="A52" s="1291" t="s">
        <v>41</v>
      </c>
      <c r="B52" s="1291" t="s">
        <v>28</v>
      </c>
      <c r="C52" s="1292">
        <v>2</v>
      </c>
      <c r="D52" s="1292">
        <v>64193.574520644499</v>
      </c>
      <c r="E52" s="1292">
        <v>5</v>
      </c>
      <c r="F52" s="1292">
        <v>58470.208150709601</v>
      </c>
    </row>
    <row r="53" spans="1:6">
      <c r="A53" s="1291" t="s">
        <v>43</v>
      </c>
      <c r="B53" s="1291" t="s">
        <v>44</v>
      </c>
      <c r="C53" s="1292">
        <v>45</v>
      </c>
      <c r="D53" s="1292">
        <v>1317085.93662278</v>
      </c>
      <c r="E53" s="1292">
        <v>95</v>
      </c>
      <c r="F53" s="1292">
        <v>432727.893714773</v>
      </c>
    </row>
    <row r="54" spans="1:6">
      <c r="A54" s="1291" t="s">
        <v>45</v>
      </c>
      <c r="B54" s="1291" t="s">
        <v>46</v>
      </c>
      <c r="C54" s="1292">
        <v>0</v>
      </c>
      <c r="D54" s="1292">
        <v>0</v>
      </c>
      <c r="E54" s="1292">
        <v>1</v>
      </c>
      <c r="F54" s="1292">
        <v>500345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10</v>
      </c>
      <c r="D57" s="1292">
        <v>233373.837240297</v>
      </c>
      <c r="E57" s="1292">
        <v>47</v>
      </c>
      <c r="F57" s="1292">
        <v>643344.22314842301</v>
      </c>
    </row>
    <row r="58" spans="1:6">
      <c r="A58" s="1291" t="s">
        <v>48</v>
      </c>
      <c r="B58" s="1291" t="s">
        <v>50</v>
      </c>
      <c r="C58" s="1292">
        <v>24</v>
      </c>
      <c r="D58" s="1292">
        <v>4700387.2516751299</v>
      </c>
      <c r="E58" s="1292">
        <v>33</v>
      </c>
      <c r="F58" s="1292">
        <v>680729.37075984501</v>
      </c>
    </row>
    <row r="59" spans="1:6">
      <c r="A59" s="1291" t="s">
        <v>48</v>
      </c>
      <c r="B59" s="1291" t="s">
        <v>51</v>
      </c>
      <c r="C59" s="1292">
        <v>15</v>
      </c>
      <c r="D59" s="1292">
        <v>1316348.0616488401</v>
      </c>
      <c r="E59" s="1292">
        <v>75</v>
      </c>
      <c r="F59" s="1292">
        <v>5650424.1073591402</v>
      </c>
    </row>
    <row r="60" spans="1:6">
      <c r="A60" s="1291" t="s">
        <v>48</v>
      </c>
      <c r="B60" s="1291" t="s">
        <v>52</v>
      </c>
      <c r="C60" s="1292">
        <v>22</v>
      </c>
      <c r="D60" s="1292">
        <v>7169020.3089430202</v>
      </c>
      <c r="E60" s="1292">
        <v>40</v>
      </c>
      <c r="F60" s="1292">
        <v>3211997.1764127999</v>
      </c>
    </row>
    <row r="61" spans="1:6">
      <c r="A61" s="1291" t="s">
        <v>48</v>
      </c>
      <c r="B61" s="1291" t="s">
        <v>53</v>
      </c>
      <c r="C61" s="1292">
        <v>50</v>
      </c>
      <c r="D61" s="1292">
        <v>2853372.1455651401</v>
      </c>
      <c r="E61" s="1292">
        <v>160</v>
      </c>
      <c r="F61" s="1292">
        <v>1743801.5235826501</v>
      </c>
    </row>
    <row r="62" spans="1:6">
      <c r="A62" s="1291" t="s">
        <v>48</v>
      </c>
      <c r="B62" s="1291" t="s">
        <v>54</v>
      </c>
      <c r="C62" s="1292">
        <v>0</v>
      </c>
      <c r="D62" s="1292">
        <v>0</v>
      </c>
      <c r="E62" s="1292">
        <v>3</v>
      </c>
      <c r="F62" s="1292">
        <v>15727.7686697194</v>
      </c>
    </row>
    <row r="63" spans="1:6">
      <c r="A63" s="1291" t="s">
        <v>48</v>
      </c>
      <c r="B63" s="1291" t="s">
        <v>28</v>
      </c>
      <c r="C63" s="1292">
        <v>80</v>
      </c>
      <c r="D63" s="1292">
        <v>3781298.1102966899</v>
      </c>
      <c r="E63" s="1292">
        <v>91</v>
      </c>
      <c r="F63" s="1292">
        <v>1484020.59593529</v>
      </c>
    </row>
    <row r="64" spans="1:6">
      <c r="A64" s="1291" t="s">
        <v>55</v>
      </c>
      <c r="B64" s="1291" t="s">
        <v>56</v>
      </c>
      <c r="C64" s="1292">
        <v>0</v>
      </c>
      <c r="D64" s="1292">
        <v>0</v>
      </c>
      <c r="E64" s="1292">
        <v>0</v>
      </c>
      <c r="F64" s="1292">
        <v>0</v>
      </c>
    </row>
    <row r="65" spans="1:6">
      <c r="A65" s="1291" t="s">
        <v>55</v>
      </c>
      <c r="B65" s="1291" t="s">
        <v>28</v>
      </c>
      <c r="C65" s="1292">
        <v>1</v>
      </c>
      <c r="D65" s="1292">
        <v>20411.331839726801</v>
      </c>
      <c r="E65" s="1292">
        <v>2</v>
      </c>
      <c r="F65" s="1292">
        <v>18041.973519187999</v>
      </c>
    </row>
    <row r="66" spans="1:6">
      <c r="A66" s="1291" t="s">
        <v>55</v>
      </c>
      <c r="B66" s="1291" t="s">
        <v>57</v>
      </c>
      <c r="C66" s="1292">
        <v>0</v>
      </c>
      <c r="D66" s="1292">
        <v>0</v>
      </c>
      <c r="E66" s="1292">
        <v>6</v>
      </c>
      <c r="F66" s="1292">
        <v>51770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25652520</v>
      </c>
      <c r="E73" s="443"/>
      <c r="F73" s="324"/>
    </row>
    <row r="74" spans="1:6">
      <c r="A74" s="1291" t="s">
        <v>63</v>
      </c>
      <c r="B74" s="1291" t="s">
        <v>648</v>
      </c>
      <c r="C74" s="1305" t="s">
        <v>650</v>
      </c>
      <c r="D74" s="1306">
        <v>1465280</v>
      </c>
      <c r="E74" s="443"/>
      <c r="F74" s="324"/>
    </row>
    <row r="75" spans="1:6">
      <c r="A75" s="1291" t="s">
        <v>64</v>
      </c>
      <c r="B75" s="1291" t="s">
        <v>647</v>
      </c>
      <c r="C75" s="1305" t="s">
        <v>651</v>
      </c>
      <c r="D75" s="1306">
        <v>29356222</v>
      </c>
      <c r="E75" s="443"/>
      <c r="F75" s="324"/>
    </row>
    <row r="76" spans="1:6">
      <c r="A76" s="1291" t="s">
        <v>64</v>
      </c>
      <c r="B76" s="1291" t="s">
        <v>648</v>
      </c>
      <c r="C76" s="1305" t="s">
        <v>652</v>
      </c>
      <c r="D76" s="1306">
        <v>1029440</v>
      </c>
      <c r="E76" s="443"/>
      <c r="F76" s="324"/>
    </row>
    <row r="77" spans="1:6">
      <c r="A77" s="1291" t="s">
        <v>65</v>
      </c>
      <c r="B77" s="1291" t="s">
        <v>647</v>
      </c>
      <c r="C77" s="1305" t="s">
        <v>653</v>
      </c>
      <c r="D77" s="1306">
        <v>98304928</v>
      </c>
      <c r="E77" s="443"/>
      <c r="F77" s="324"/>
    </row>
    <row r="78" spans="1:6">
      <c r="A78" s="1286" t="s">
        <v>65</v>
      </c>
      <c r="B78" s="1286" t="s">
        <v>648</v>
      </c>
      <c r="C78" s="1286" t="s">
        <v>654</v>
      </c>
      <c r="D78" s="1307">
        <v>9588985</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643022</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2538.6188017376235</v>
      </c>
      <c r="C91" s="324"/>
      <c r="D91" s="324"/>
      <c r="E91" s="324"/>
      <c r="F91" s="324"/>
    </row>
    <row r="92" spans="1:6">
      <c r="A92" s="1286" t="s">
        <v>68</v>
      </c>
      <c r="B92" s="1287">
        <v>264.26228311884438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688</v>
      </c>
      <c r="C97" s="324"/>
      <c r="D97" s="324"/>
      <c r="E97" s="324"/>
      <c r="F97" s="324"/>
    </row>
    <row r="98" spans="1:6">
      <c r="A98" s="1291" t="s">
        <v>71</v>
      </c>
      <c r="B98" s="1292">
        <v>2</v>
      </c>
      <c r="C98" s="324"/>
      <c r="D98" s="324"/>
      <c r="E98" s="324"/>
      <c r="F98" s="324"/>
    </row>
    <row r="99" spans="1:6">
      <c r="A99" s="1291" t="s">
        <v>72</v>
      </c>
      <c r="B99" s="1292">
        <v>64</v>
      </c>
      <c r="C99" s="324"/>
      <c r="D99" s="324"/>
      <c r="E99" s="324"/>
      <c r="F99" s="324"/>
    </row>
    <row r="100" spans="1:6">
      <c r="A100" s="1291" t="s">
        <v>73</v>
      </c>
      <c r="B100" s="1292">
        <v>270</v>
      </c>
      <c r="C100" s="324"/>
      <c r="D100" s="324"/>
      <c r="E100" s="324"/>
      <c r="F100" s="324"/>
    </row>
    <row r="101" spans="1:6">
      <c r="A101" s="1291" t="s">
        <v>74</v>
      </c>
      <c r="B101" s="1292">
        <v>46</v>
      </c>
      <c r="C101" s="324"/>
      <c r="D101" s="324"/>
      <c r="E101" s="324"/>
      <c r="F101" s="324"/>
    </row>
    <row r="102" spans="1:6">
      <c r="A102" s="1291" t="s">
        <v>75</v>
      </c>
      <c r="B102" s="1292">
        <v>38</v>
      </c>
      <c r="C102" s="324"/>
      <c r="D102" s="324"/>
      <c r="E102" s="324"/>
      <c r="F102" s="324"/>
    </row>
    <row r="103" spans="1:6">
      <c r="A103" s="1291" t="s">
        <v>76</v>
      </c>
      <c r="B103" s="1292">
        <v>76</v>
      </c>
      <c r="C103" s="324"/>
      <c r="D103" s="324"/>
      <c r="E103" s="324"/>
      <c r="F103" s="324"/>
    </row>
    <row r="104" spans="1:6">
      <c r="A104" s="1291" t="s">
        <v>77</v>
      </c>
      <c r="B104" s="1292">
        <v>1945</v>
      </c>
      <c r="C104" s="324"/>
      <c r="D104" s="324"/>
      <c r="E104" s="324"/>
      <c r="F104" s="324"/>
    </row>
    <row r="105" spans="1:6">
      <c r="A105" s="1286" t="s">
        <v>78</v>
      </c>
      <c r="B105" s="129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13</v>
      </c>
      <c r="C123" s="1292">
        <v>20</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109</v>
      </c>
      <c r="C129" s="324"/>
      <c r="D129" s="324"/>
      <c r="E129" s="324"/>
      <c r="F129" s="324"/>
    </row>
    <row r="130" spans="1:6">
      <c r="A130" s="1291" t="s">
        <v>289</v>
      </c>
      <c r="B130" s="1292">
        <v>3</v>
      </c>
      <c r="C130" s="324"/>
      <c r="D130" s="324"/>
      <c r="E130" s="324"/>
      <c r="F130" s="324"/>
    </row>
    <row r="131" spans="1:6">
      <c r="A131" s="1291" t="s">
        <v>290</v>
      </c>
      <c r="B131" s="1292">
        <v>2</v>
      </c>
      <c r="C131" s="324"/>
      <c r="D131" s="324"/>
      <c r="E131" s="324"/>
      <c r="F131" s="324"/>
    </row>
    <row r="132" spans="1:6">
      <c r="A132" s="1286" t="s">
        <v>291</v>
      </c>
      <c r="B132" s="1287">
        <v>14</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33313.091870519624</v>
      </c>
      <c r="C3" s="43" t="s">
        <v>169</v>
      </c>
      <c r="D3" s="43"/>
      <c r="E3" s="154"/>
      <c r="F3" s="43"/>
      <c r="G3" s="43"/>
      <c r="H3" s="43"/>
      <c r="I3" s="43"/>
      <c r="J3" s="43"/>
      <c r="K3" s="96"/>
    </row>
    <row r="4" spans="1:11">
      <c r="A4" s="352" t="s">
        <v>170</v>
      </c>
      <c r="B4" s="49">
        <f>IF(ISERROR('SEAP template'!B78+'SEAP template'!C78),0,'SEAP template'!B78+'SEAP template'!C78)</f>
        <v>2802.8810848564681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0.20240560707601418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500.34500000000003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500.34500000000003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0.20240560707601418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101.27263347244832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14799.900237297001</v>
      </c>
      <c r="C5" s="17">
        <f>IF(ISERROR('Eigen informatie GS &amp; warmtenet'!B57),0,'Eigen informatie GS &amp; warmtenet'!B57)</f>
        <v>0</v>
      </c>
      <c r="D5" s="30">
        <f>(SUM(HH_hh_gas_kWh,HH_rest_gas_kWh)/1000)*0.902</f>
        <v>31888.078585798699</v>
      </c>
      <c r="E5" s="17">
        <f>B32*B41</f>
        <v>1148.0102688572547</v>
      </c>
      <c r="F5" s="17">
        <f>B36*B45</f>
        <v>29085.434234968212</v>
      </c>
      <c r="G5" s="18"/>
      <c r="H5" s="17"/>
      <c r="I5" s="17"/>
      <c r="J5" s="17">
        <f>B35*B44+C35*C44</f>
        <v>139.95584640882277</v>
      </c>
      <c r="K5" s="17"/>
      <c r="L5" s="17"/>
      <c r="M5" s="17"/>
      <c r="N5" s="17">
        <f>B34*B43+C34*C43</f>
        <v>5841.8675361363621</v>
      </c>
      <c r="O5" s="17">
        <f>B52*B53*B54</f>
        <v>201.67000000000004</v>
      </c>
      <c r="P5" s="17">
        <f>B60*B61*B62/1000-B60*B61*B62/1000/B63</f>
        <v>514.79999999999995</v>
      </c>
    </row>
    <row r="6" spans="1:16">
      <c r="A6" s="16" t="s">
        <v>613</v>
      </c>
      <c r="B6" s="756">
        <f>kWh_PV_kleiner_dan_10kW</f>
        <v>2538.6188017376235</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17338.519039034625</v>
      </c>
      <c r="C8" s="21">
        <f>C5</f>
        <v>0</v>
      </c>
      <c r="D8" s="21">
        <f>D5</f>
        <v>31888.078585798699</v>
      </c>
      <c r="E8" s="21">
        <f>E5</f>
        <v>1148.0102688572547</v>
      </c>
      <c r="F8" s="21">
        <f>F5</f>
        <v>29085.434234968212</v>
      </c>
      <c r="G8" s="21"/>
      <c r="H8" s="21"/>
      <c r="I8" s="21"/>
      <c r="J8" s="21">
        <f>J5</f>
        <v>139.95584640882277</v>
      </c>
      <c r="K8" s="21"/>
      <c r="L8" s="21">
        <f>L5</f>
        <v>0</v>
      </c>
      <c r="M8" s="21">
        <f>M5</f>
        <v>0</v>
      </c>
      <c r="N8" s="21">
        <f>N5</f>
        <v>5841.8675361363621</v>
      </c>
      <c r="O8" s="21">
        <f>O5</f>
        <v>201.67000000000004</v>
      </c>
      <c r="P8" s="21">
        <f>P5</f>
        <v>514.79999999999995</v>
      </c>
    </row>
    <row r="9" spans="1:16">
      <c r="B9" s="19"/>
      <c r="C9" s="19"/>
      <c r="D9" s="254"/>
      <c r="E9" s="19"/>
      <c r="F9" s="19"/>
      <c r="G9" s="19"/>
      <c r="H9" s="19"/>
      <c r="I9" s="19"/>
      <c r="J9" s="19"/>
      <c r="K9" s="19"/>
      <c r="L9" s="19"/>
      <c r="M9" s="19"/>
      <c r="N9" s="19"/>
      <c r="O9" s="19"/>
      <c r="P9" s="19"/>
    </row>
    <row r="10" spans="1:16">
      <c r="A10" s="24" t="s">
        <v>213</v>
      </c>
      <c r="B10" s="25">
        <f ca="1">'EF ele_warmte'!B12</f>
        <v>0.20240560707601418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3509.4134718948335</v>
      </c>
      <c r="C12" s="23">
        <f ca="1">C10*C8</f>
        <v>0</v>
      </c>
      <c r="D12" s="23">
        <f>D8*D10</f>
        <v>6441.3918743313379</v>
      </c>
      <c r="E12" s="23">
        <f>E10*E8</f>
        <v>260.5983310305968</v>
      </c>
      <c r="F12" s="23">
        <f>F10*F8</f>
        <v>7765.8109407365127</v>
      </c>
      <c r="G12" s="23"/>
      <c r="H12" s="23"/>
      <c r="I12" s="23"/>
      <c r="J12" s="23">
        <f>J10*J8</f>
        <v>49.54436962872326</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3837</v>
      </c>
      <c r="C26" s="36"/>
      <c r="D26" s="225"/>
    </row>
    <row r="27" spans="1:5" s="15" customFormat="1">
      <c r="A27" s="227" t="s">
        <v>768</v>
      </c>
      <c r="B27" s="37">
        <f>SUM(HH_hh_gas_aantal,HH_rest_gas_aantal)</f>
        <v>1933</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1836.35</v>
      </c>
      <c r="C31" s="34" t="s">
        <v>110</v>
      </c>
      <c r="D31" s="171"/>
    </row>
    <row r="32" spans="1:5">
      <c r="A32" s="168" t="s">
        <v>72</v>
      </c>
      <c r="B32" s="33">
        <f>IF((B21*($B$26-($B$27-0.05*$B$27)-$B$60))&lt;0,0,B21*($B$26-($B$27-0.05*$B$27)-$B$60))</f>
        <v>21.71112557398779</v>
      </c>
      <c r="C32" s="34" t="s">
        <v>110</v>
      </c>
      <c r="D32" s="171"/>
    </row>
    <row r="33" spans="1:6">
      <c r="A33" s="168" t="s">
        <v>73</v>
      </c>
      <c r="B33" s="33">
        <f>IF((B22*($B$26-($B$27-0.05*$B$27)-$B$60))&lt;0,0,B22*($B$26-($B$27-0.05*$B$27)-$B$60))</f>
        <v>451.39253301957137</v>
      </c>
      <c r="C33" s="34" t="s">
        <v>110</v>
      </c>
      <c r="D33" s="171"/>
    </row>
    <row r="34" spans="1:6">
      <c r="A34" s="168" t="s">
        <v>74</v>
      </c>
      <c r="B34" s="33">
        <f>IF((B24*($B$26-($B$27-0.05*$B$27)-$B$60))&lt;0,0,B24*($B$26-($B$27-0.05*$B$27)-$B$60))</f>
        <v>89.765928107930407</v>
      </c>
      <c r="C34" s="33">
        <f>B26*C24</f>
        <v>785.41683352839152</v>
      </c>
      <c r="D34" s="230"/>
    </row>
    <row r="35" spans="1:6">
      <c r="A35" s="168" t="s">
        <v>76</v>
      </c>
      <c r="B35" s="33">
        <f>IF((B19*($B$26-($B$27-0.05*$B$27)-$B$60))&lt;0,0,B19*($B$26-($B$27-0.05*$B$27)-$B$60))</f>
        <v>16.432980934129141</v>
      </c>
      <c r="C35" s="33">
        <f>B35/2</f>
        <v>8.2164904670645704</v>
      </c>
      <c r="D35" s="230"/>
    </row>
    <row r="36" spans="1:6">
      <c r="A36" s="168" t="s">
        <v>77</v>
      </c>
      <c r="B36" s="33">
        <f>IF((B18*($B$26-($B$27-0.05*$B$27)-$B$60))&lt;0,0,B18*($B$26-($B$27-0.05*$B$27)-$B$60))</f>
        <v>1394.3474323643813</v>
      </c>
      <c r="C36" s="34" t="s">
        <v>110</v>
      </c>
      <c r="D36" s="171"/>
    </row>
    <row r="37" spans="1:6">
      <c r="A37" s="168" t="s">
        <v>78</v>
      </c>
      <c r="B37" s="33">
        <f>B60</f>
        <v>27</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129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27</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13430.044765867868</v>
      </c>
      <c r="C5" s="17">
        <f>IF(ISERROR('Eigen informatie GS &amp; warmtenet'!B58),0,'Eigen informatie GS &amp; warmtenet'!B58)</f>
        <v>0</v>
      </c>
      <c r="D5" s="30">
        <f>SUM(D6:D12)</f>
        <v>18088.527343262947</v>
      </c>
      <c r="E5" s="17">
        <f>SUM(E6:E12)</f>
        <v>270.42169170099811</v>
      </c>
      <c r="F5" s="17">
        <f>SUM(F6:F12)</f>
        <v>2285.9497569749742</v>
      </c>
      <c r="G5" s="18"/>
      <c r="H5" s="17"/>
      <c r="I5" s="17"/>
      <c r="J5" s="17">
        <f>SUM(J6:J12)</f>
        <v>1.755807456940044E-2</v>
      </c>
      <c r="K5" s="17"/>
      <c r="L5" s="17"/>
      <c r="M5" s="17"/>
      <c r="N5" s="17">
        <f>SUM(N6:N12)</f>
        <v>711.00290783544403</v>
      </c>
      <c r="O5" s="17">
        <f>B38*B39*B40</f>
        <v>4.6900000000000004</v>
      </c>
      <c r="P5" s="17">
        <f>B46*B47*B48/1000-B46*B47*B48/1000/B49</f>
        <v>38.133333333333333</v>
      </c>
      <c r="R5" s="32"/>
    </row>
    <row r="6" spans="1:18">
      <c r="A6" s="32" t="s">
        <v>53</v>
      </c>
      <c r="B6" s="37">
        <f>B26</f>
        <v>1743.8015235826501</v>
      </c>
      <c r="C6" s="33"/>
      <c r="D6" s="37">
        <f>IF(ISERROR(TER_kantoor_gas_kWh/1000),0,TER_kantoor_gas_kWh/1000)*0.902</f>
        <v>2573.7416752997565</v>
      </c>
      <c r="E6" s="33">
        <f>$C$26*'E Balans VL '!I12/100/3.6*1000000</f>
        <v>1.0929567970515502E-2</v>
      </c>
      <c r="F6" s="33">
        <f>$C$26*('E Balans VL '!L12+'E Balans VL '!N12)/100/3.6*1000000</f>
        <v>262.04464253267747</v>
      </c>
      <c r="G6" s="34"/>
      <c r="H6" s="33"/>
      <c r="I6" s="33"/>
      <c r="J6" s="33">
        <f>$C$26*('E Balans VL '!D12+'E Balans VL '!E12)/100/3.6*1000000</f>
        <v>0</v>
      </c>
      <c r="K6" s="33"/>
      <c r="L6" s="33"/>
      <c r="M6" s="33"/>
      <c r="N6" s="33">
        <f>$C$26*'E Balans VL '!Y12/100/3.6*1000000</f>
        <v>1.6676876103569145</v>
      </c>
      <c r="O6" s="33"/>
      <c r="P6" s="33"/>
      <c r="R6" s="32"/>
    </row>
    <row r="7" spans="1:18">
      <c r="A7" s="32" t="s">
        <v>52</v>
      </c>
      <c r="B7" s="37">
        <f t="shared" ref="B7:B12" si="0">B27</f>
        <v>3211.9971764127999</v>
      </c>
      <c r="C7" s="33"/>
      <c r="D7" s="37">
        <f>IF(ISERROR(TER_horeca_gas_kWh/1000),0,TER_horeca_gas_kWh/1000)*0.902</f>
        <v>6466.4563186666046</v>
      </c>
      <c r="E7" s="33">
        <f>$C$27*'E Balans VL '!I9/100/3.6*1000000</f>
        <v>45.995264549635351</v>
      </c>
      <c r="F7" s="33">
        <f>$C$27*('E Balans VL '!L9+'E Balans VL '!N9)/100/3.6*1000000</f>
        <v>406.7447782820048</v>
      </c>
      <c r="G7" s="34"/>
      <c r="H7" s="33"/>
      <c r="I7" s="33"/>
      <c r="J7" s="33">
        <f>$C$27*('E Balans VL '!D9+'E Balans VL '!E9)/100/3.6*1000000</f>
        <v>0</v>
      </c>
      <c r="K7" s="33"/>
      <c r="L7" s="33"/>
      <c r="M7" s="33"/>
      <c r="N7" s="33">
        <f>$C$27*'E Balans VL '!Y9/100/3.6*1000000</f>
        <v>0.92337836975997289</v>
      </c>
      <c r="O7" s="33"/>
      <c r="P7" s="33"/>
      <c r="R7" s="32"/>
    </row>
    <row r="8" spans="1:18">
      <c r="A8" s="6" t="s">
        <v>51</v>
      </c>
      <c r="B8" s="37">
        <f t="shared" si="0"/>
        <v>5650.4241073591402</v>
      </c>
      <c r="C8" s="33"/>
      <c r="D8" s="37">
        <f>IF(ISERROR(TER_handel_gas_kWh/1000),0,TER_handel_gas_kWh/1000)*0.902</f>
        <v>1187.3459516072537</v>
      </c>
      <c r="E8" s="33">
        <f>$C$28*'E Balans VL '!I13/100/3.6*1000000</f>
        <v>204.94018559483189</v>
      </c>
      <c r="F8" s="33">
        <f>$C$28*('E Balans VL '!L13+'E Balans VL '!N13)/100/3.6*1000000</f>
        <v>1088.3288972590217</v>
      </c>
      <c r="G8" s="34"/>
      <c r="H8" s="33"/>
      <c r="I8" s="33"/>
      <c r="J8" s="33">
        <f>$C$28*('E Balans VL '!D13+'E Balans VL '!E13)/100/3.6*1000000</f>
        <v>0</v>
      </c>
      <c r="K8" s="33"/>
      <c r="L8" s="33"/>
      <c r="M8" s="33"/>
      <c r="N8" s="33">
        <f>$C$28*'E Balans VL '!Y13/100/3.6*1000000</f>
        <v>7.8271374932965836</v>
      </c>
      <c r="O8" s="33"/>
      <c r="P8" s="33"/>
      <c r="R8" s="32"/>
    </row>
    <row r="9" spans="1:18">
      <c r="A9" s="32" t="s">
        <v>50</v>
      </c>
      <c r="B9" s="37">
        <f t="shared" si="0"/>
        <v>680.72937075984498</v>
      </c>
      <c r="C9" s="33"/>
      <c r="D9" s="37">
        <f>IF(ISERROR(TER_gezond_gas_kWh/1000),0,TER_gezond_gas_kWh/1000)*0.902</f>
        <v>4239.7493010109674</v>
      </c>
      <c r="E9" s="33">
        <f>$C$29*'E Balans VL '!I10/100/3.6*1000000</f>
        <v>4.262037959788581E-2</v>
      </c>
      <c r="F9" s="33">
        <f>$C$29*('E Balans VL '!L10+'E Balans VL '!N10)/100/3.6*1000000</f>
        <v>101.12442064992273</v>
      </c>
      <c r="G9" s="34"/>
      <c r="H9" s="33"/>
      <c r="I9" s="33"/>
      <c r="J9" s="33">
        <f>$C$29*('E Balans VL '!D10+'E Balans VL '!E10)/100/3.6*1000000</f>
        <v>0</v>
      </c>
      <c r="K9" s="33"/>
      <c r="L9" s="33"/>
      <c r="M9" s="33"/>
      <c r="N9" s="33">
        <f>$C$29*'E Balans VL '!Y10/100/3.6*1000000</f>
        <v>10.529587591682816</v>
      </c>
      <c r="O9" s="33"/>
      <c r="P9" s="33"/>
      <c r="R9" s="32"/>
    </row>
    <row r="10" spans="1:18">
      <c r="A10" s="32" t="s">
        <v>49</v>
      </c>
      <c r="B10" s="37">
        <f t="shared" si="0"/>
        <v>643.344223148423</v>
      </c>
      <c r="C10" s="33"/>
      <c r="D10" s="37">
        <f>IF(ISERROR(TER_ander_gas_kWh/1000),0,TER_ander_gas_kWh/1000)*0.902</f>
        <v>210.50320119074792</v>
      </c>
      <c r="E10" s="33">
        <f>$C$30*'E Balans VL '!I14/100/3.6*1000000</f>
        <v>0.76684332475488348</v>
      </c>
      <c r="F10" s="33">
        <f>$C$30*('E Balans VL '!L14+'E Balans VL '!N14)/100/3.6*1000000</f>
        <v>168.32744961338892</v>
      </c>
      <c r="G10" s="34"/>
      <c r="H10" s="33"/>
      <c r="I10" s="33"/>
      <c r="J10" s="33">
        <f>$C$30*('E Balans VL '!D14+'E Balans VL '!E14)/100/3.6*1000000</f>
        <v>1.3964481244830455E-2</v>
      </c>
      <c r="K10" s="33"/>
      <c r="L10" s="33"/>
      <c r="M10" s="33"/>
      <c r="N10" s="33">
        <f>$C$30*'E Balans VL '!Y14/100/3.6*1000000</f>
        <v>546.31217188609048</v>
      </c>
      <c r="O10" s="33"/>
      <c r="P10" s="33"/>
      <c r="R10" s="32"/>
    </row>
    <row r="11" spans="1:18">
      <c r="A11" s="32" t="s">
        <v>54</v>
      </c>
      <c r="B11" s="37">
        <f t="shared" si="0"/>
        <v>15.727768669719401</v>
      </c>
      <c r="C11" s="33"/>
      <c r="D11" s="37">
        <f>IF(ISERROR(TER_onderwijs_gas_kWh/1000),0,TER_onderwijs_gas_kWh/1000)*0.902</f>
        <v>0</v>
      </c>
      <c r="E11" s="33">
        <f>$C$31*'E Balans VL '!I11/100/3.6*1000000</f>
        <v>0.23730669724581291</v>
      </c>
      <c r="F11" s="33">
        <f>$C$31*('E Balans VL '!L11+'E Balans VL '!N11)/100/3.6*1000000</f>
        <v>2.7557563295141962</v>
      </c>
      <c r="G11" s="34"/>
      <c r="H11" s="33"/>
      <c r="I11" s="33"/>
      <c r="J11" s="33">
        <f>$C$31*('E Balans VL '!D11+'E Balans VL '!E11)/100/3.6*1000000</f>
        <v>0</v>
      </c>
      <c r="K11" s="33"/>
      <c r="L11" s="33"/>
      <c r="M11" s="33"/>
      <c r="N11" s="33">
        <f>$C$31*'E Balans VL '!Y11/100/3.6*1000000</f>
        <v>4.4259136707098037E-2</v>
      </c>
      <c r="O11" s="33"/>
      <c r="P11" s="33"/>
      <c r="R11" s="32"/>
    </row>
    <row r="12" spans="1:18">
      <c r="A12" s="32" t="s">
        <v>254</v>
      </c>
      <c r="B12" s="37">
        <f t="shared" si="0"/>
        <v>1484.02059593529</v>
      </c>
      <c r="C12" s="33"/>
      <c r="D12" s="37">
        <f>IF(ISERROR(TER_rest_gas_kWh/1000),0,TER_rest_gas_kWh/1000)*0.902</f>
        <v>3410.7308954876144</v>
      </c>
      <c r="E12" s="33">
        <f>$C$32*'E Balans VL '!I8/100/3.6*1000000</f>
        <v>18.428541586961767</v>
      </c>
      <c r="F12" s="33">
        <f>$C$32*('E Balans VL '!L8+'E Balans VL '!N8)/100/3.6*1000000</f>
        <v>256.62381230844431</v>
      </c>
      <c r="G12" s="34"/>
      <c r="H12" s="33"/>
      <c r="I12" s="33"/>
      <c r="J12" s="33">
        <f>$C$32*('E Balans VL '!D8+'E Balans VL '!E8)/100/3.6*1000000</f>
        <v>3.5935933245699837E-3</v>
      </c>
      <c r="K12" s="33"/>
      <c r="L12" s="33"/>
      <c r="M12" s="33"/>
      <c r="N12" s="33">
        <f>$C$32*'E Balans VL '!Y8/100/3.6*1000000</f>
        <v>143.69868574755017</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13430.044765867868</v>
      </c>
      <c r="C16" s="21">
        <f t="shared" ca="1" si="1"/>
        <v>0</v>
      </c>
      <c r="D16" s="21">
        <f t="shared" ca="1" si="1"/>
        <v>18088.527343262947</v>
      </c>
      <c r="E16" s="21">
        <f t="shared" si="1"/>
        <v>270.42169170099811</v>
      </c>
      <c r="F16" s="21">
        <f t="shared" ca="1" si="1"/>
        <v>2285.9497569749742</v>
      </c>
      <c r="G16" s="21">
        <f t="shared" si="1"/>
        <v>0</v>
      </c>
      <c r="H16" s="21">
        <f t="shared" si="1"/>
        <v>0</v>
      </c>
      <c r="I16" s="21">
        <f t="shared" si="1"/>
        <v>0</v>
      </c>
      <c r="J16" s="21">
        <f t="shared" si="1"/>
        <v>1.755807456940044E-2</v>
      </c>
      <c r="K16" s="21">
        <f t="shared" si="1"/>
        <v>0</v>
      </c>
      <c r="L16" s="21">
        <f t="shared" ca="1" si="1"/>
        <v>0</v>
      </c>
      <c r="M16" s="21">
        <f t="shared" si="1"/>
        <v>0</v>
      </c>
      <c r="N16" s="21">
        <f t="shared" ca="1" si="1"/>
        <v>711.00290783544403</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0.20240560707601418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2718.3163638935325</v>
      </c>
      <c r="C20" s="23">
        <f t="shared" ref="C20:P20" ca="1" si="2">C16*C18</f>
        <v>0</v>
      </c>
      <c r="D20" s="23">
        <f t="shared" ca="1" si="2"/>
        <v>3653.8825233391158</v>
      </c>
      <c r="E20" s="23">
        <f t="shared" si="2"/>
        <v>61.385724016126574</v>
      </c>
      <c r="F20" s="23">
        <f t="shared" ca="1" si="2"/>
        <v>610.34858511231812</v>
      </c>
      <c r="G20" s="23">
        <f t="shared" si="2"/>
        <v>0</v>
      </c>
      <c r="H20" s="23">
        <f t="shared" si="2"/>
        <v>0</v>
      </c>
      <c r="I20" s="23">
        <f t="shared" si="2"/>
        <v>0</v>
      </c>
      <c r="J20" s="23">
        <f t="shared" si="2"/>
        <v>6.2155583975677551E-3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1743.8015235826501</v>
      </c>
      <c r="C26" s="39">
        <f>IF(ISERROR(B26*3.6/1000000/'E Balans VL '!Z12*100),0,B26*3.6/1000000/'E Balans VL '!Z12*100)</f>
        <v>3.686120180379044E-2</v>
      </c>
      <c r="D26" s="233" t="s">
        <v>732</v>
      </c>
      <c r="F26" s="6"/>
    </row>
    <row r="27" spans="1:18">
      <c r="A27" s="228" t="s">
        <v>52</v>
      </c>
      <c r="B27" s="33">
        <f>IF(ISERROR(TER_horeca_ele_kWh/1000),0,TER_horeca_ele_kWh/1000)</f>
        <v>3211.9971764127999</v>
      </c>
      <c r="C27" s="39">
        <f>IF(ISERROR(B27*3.6/1000000/'E Balans VL '!Z9*100),0,B27*3.6/1000000/'E Balans VL '!Z9*100)</f>
        <v>0.2532005402441555</v>
      </c>
      <c r="D27" s="233" t="s">
        <v>732</v>
      </c>
      <c r="F27" s="6"/>
    </row>
    <row r="28" spans="1:18">
      <c r="A28" s="168" t="s">
        <v>51</v>
      </c>
      <c r="B28" s="33">
        <f>IF(ISERROR(TER_handel_ele_kWh/1000),0,TER_handel_ele_kWh/1000)</f>
        <v>5650.4241073591402</v>
      </c>
      <c r="C28" s="39">
        <f>IF(ISERROR(B28*3.6/1000000/'E Balans VL '!Z13*100),0,B28*3.6/1000000/'E Balans VL '!Z13*100)</f>
        <v>0.16399813786722728</v>
      </c>
      <c r="D28" s="233" t="s">
        <v>732</v>
      </c>
      <c r="F28" s="6"/>
    </row>
    <row r="29" spans="1:18">
      <c r="A29" s="228" t="s">
        <v>50</v>
      </c>
      <c r="B29" s="33">
        <f>IF(ISERROR(TER_gezond_ele_kWh/1000),0,TER_gezond_ele_kWh/1000)</f>
        <v>680.72937075984498</v>
      </c>
      <c r="C29" s="39">
        <f>IF(ISERROR(B29*3.6/1000000/'E Balans VL '!Z10*100),0,B29*3.6/1000000/'E Balans VL '!Z10*100)</f>
        <v>7.169198061233216E-2</v>
      </c>
      <c r="D29" s="233" t="s">
        <v>732</v>
      </c>
      <c r="F29" s="6"/>
    </row>
    <row r="30" spans="1:18">
      <c r="A30" s="228" t="s">
        <v>49</v>
      </c>
      <c r="B30" s="33">
        <f>IF(ISERROR(TER_ander_ele_kWh/1000),0,TER_ander_ele_kWh/1000)</f>
        <v>643.344223148423</v>
      </c>
      <c r="C30" s="39">
        <f>IF(ISERROR(B30*3.6/1000000/'E Balans VL '!Z14*100),0,B30*3.6/1000000/'E Balans VL '!Z14*100)</f>
        <v>4.7453209633097855E-2</v>
      </c>
      <c r="D30" s="233" t="s">
        <v>732</v>
      </c>
      <c r="F30" s="6"/>
    </row>
    <row r="31" spans="1:18">
      <c r="A31" s="228" t="s">
        <v>54</v>
      </c>
      <c r="B31" s="33">
        <f>IF(ISERROR(TER_onderwijs_ele_kWh/1000),0,TER_onderwijs_ele_kWh/1000)</f>
        <v>15.727768669719401</v>
      </c>
      <c r="C31" s="39">
        <f>IF(ISERROR(B31*3.6/1000000/'E Balans VL '!Z11*100),0,B31*3.6/1000000/'E Balans VL '!Z11*100)</f>
        <v>3.9059416927634859E-3</v>
      </c>
      <c r="D31" s="233" t="s">
        <v>732</v>
      </c>
    </row>
    <row r="32" spans="1:18">
      <c r="A32" s="228" t="s">
        <v>254</v>
      </c>
      <c r="B32" s="33">
        <f>IF(ISERROR(TER_rest_ele_kWh/1000),0,TER_rest_ele_kWh/1000)</f>
        <v>1484.02059593529</v>
      </c>
      <c r="C32" s="39">
        <f>IF(ISERROR(B32*3.6/1000000/'E Balans VL '!Z8*100),0,B32*3.6/1000000/'E Balans VL '!Z8*100)</f>
        <v>1.2211519667445469E-2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834.558800147488</v>
      </c>
      <c r="C5" s="17">
        <f>IF(ISERROR('Eigen informatie GS &amp; warmtenet'!B59),0,'Eigen informatie GS &amp; warmtenet'!B59)</f>
        <v>0</v>
      </c>
      <c r="D5" s="30">
        <f>SUM(D6:D15)</f>
        <v>925.87553163987434</v>
      </c>
      <c r="E5" s="17">
        <f>SUM(E6:E15)</f>
        <v>151.05300055829201</v>
      </c>
      <c r="F5" s="17">
        <f>SUM(F6:F15)</f>
        <v>434.08072432518168</v>
      </c>
      <c r="G5" s="18"/>
      <c r="H5" s="17"/>
      <c r="I5" s="17"/>
      <c r="J5" s="17">
        <f>SUM(J6:J15)</f>
        <v>1.1745127432050799</v>
      </c>
      <c r="K5" s="17"/>
      <c r="L5" s="17"/>
      <c r="M5" s="17"/>
      <c r="N5" s="17">
        <f>SUM(N6:N15)</f>
        <v>59.330762108881245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53.390999999999998</v>
      </c>
      <c r="C8" s="33"/>
      <c r="D8" s="37">
        <f>IF( ISERROR(IND_metaal_Gas_kWH/1000),0,IND_metaal_Gas_kWH/1000)*0.902</f>
        <v>0</v>
      </c>
      <c r="E8" s="33">
        <f>C30*'E Balans VL '!I18/100/3.6*1000000</f>
        <v>0.4908786794818103</v>
      </c>
      <c r="F8" s="33">
        <f>C30*'E Balans VL '!L18/100/3.6*1000000+C30*'E Balans VL '!N18/100/3.6*1000000</f>
        <v>5.0062982336765858</v>
      </c>
      <c r="G8" s="34"/>
      <c r="H8" s="33"/>
      <c r="I8" s="33"/>
      <c r="J8" s="40">
        <f>C30*'E Balans VL '!D18/100/3.6*1000000+C30*'E Balans VL '!E18/100/3.6*1000000</f>
        <v>0</v>
      </c>
      <c r="K8" s="33"/>
      <c r="L8" s="33"/>
      <c r="M8" s="33"/>
      <c r="N8" s="33">
        <f>C30*'E Balans VL '!Y18/100/3.6*1000000</f>
        <v>0.76171084734305627</v>
      </c>
      <c r="O8" s="33"/>
      <c r="P8" s="33"/>
      <c r="R8" s="32"/>
    </row>
    <row r="9" spans="1:18">
      <c r="A9" s="6" t="s">
        <v>32</v>
      </c>
      <c r="B9" s="37">
        <f t="shared" si="0"/>
        <v>453.08987226680802</v>
      </c>
      <c r="C9" s="33"/>
      <c r="D9" s="37">
        <f>IF( ISERROR(IND_andere_gas_kWh/1000),0,IND_andere_gas_kWh/1000)*0.902</f>
        <v>364.70027166335933</v>
      </c>
      <c r="E9" s="33">
        <f>C31*'E Balans VL '!I19/100/3.6*1000000</f>
        <v>132.44699028301491</v>
      </c>
      <c r="F9" s="33">
        <f>C31*'E Balans VL '!L19/100/3.6*1000000+C31*'E Balans VL '!N19/100/3.6*1000000</f>
        <v>364.09200811841396</v>
      </c>
      <c r="G9" s="34"/>
      <c r="H9" s="33"/>
      <c r="I9" s="33"/>
      <c r="J9" s="40">
        <f>C31*'E Balans VL '!D19/100/3.6*1000000+C31*'E Balans VL '!E19/100/3.6*1000000</f>
        <v>0</v>
      </c>
      <c r="K9" s="33"/>
      <c r="L9" s="33"/>
      <c r="M9" s="33"/>
      <c r="N9" s="33">
        <f>C31*'E Balans VL '!Y19/100/3.6*1000000</f>
        <v>35.539754208048521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328.07792788068002</v>
      </c>
      <c r="C15" s="33"/>
      <c r="D15" s="37">
        <f>IF( ISERROR(IND_rest_gas_kWh/1000),0,IND_rest_gas_kWh/1000)*0.902</f>
        <v>561.17525997651501</v>
      </c>
      <c r="E15" s="33">
        <f>C37*'E Balans VL '!I15/100/3.6*1000000</f>
        <v>18.115131595795273</v>
      </c>
      <c r="F15" s="33">
        <f>C37*'E Balans VL '!L15/100/3.6*1000000+C37*'E Balans VL '!N15/100/3.6*1000000</f>
        <v>64.982417973091131</v>
      </c>
      <c r="G15" s="34"/>
      <c r="H15" s="33"/>
      <c r="I15" s="33"/>
      <c r="J15" s="40">
        <f>C37*'E Balans VL '!D15/100/3.6*1000000+C37*'E Balans VL '!E15/100/3.6*1000000</f>
        <v>1.1745127432050799</v>
      </c>
      <c r="K15" s="33"/>
      <c r="L15" s="33"/>
      <c r="M15" s="33"/>
      <c r="N15" s="33">
        <f>C37*'E Balans VL '!Y15/100/3.6*1000000</f>
        <v>23.029297053489675</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834.558800147488</v>
      </c>
      <c r="C18" s="21">
        <f>C5+C16</f>
        <v>0</v>
      </c>
      <c r="D18" s="21">
        <f>MAX((D5+D16),0)</f>
        <v>925.87553163987434</v>
      </c>
      <c r="E18" s="21">
        <f>MAX((E5+E16),0)</f>
        <v>151.05300055829201</v>
      </c>
      <c r="F18" s="21">
        <f>MAX((F5+F16),0)</f>
        <v>434.08072432518168</v>
      </c>
      <c r="G18" s="21"/>
      <c r="H18" s="21"/>
      <c r="I18" s="21"/>
      <c r="J18" s="21">
        <f>MAX((J5+J16),0)</f>
        <v>1.1745127432050799</v>
      </c>
      <c r="K18" s="21"/>
      <c r="L18" s="21">
        <f>MAX((L5+L16),0)</f>
        <v>0</v>
      </c>
      <c r="M18" s="21"/>
      <c r="N18" s="21">
        <f>MAX((N5+N16),0)</f>
        <v>59.330762108881245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0.20240560707601418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168.9193805844823</v>
      </c>
      <c r="C22" s="23">
        <f ca="1">C18*C20</f>
        <v>0</v>
      </c>
      <c r="D22" s="23">
        <f>D18*D20</f>
        <v>187.02685739125462</v>
      </c>
      <c r="E22" s="23">
        <f>E18*E20</f>
        <v>34.28903112673229</v>
      </c>
      <c r="F22" s="23">
        <f>F18*F20</f>
        <v>115.89955339482351</v>
      </c>
      <c r="G22" s="23"/>
      <c r="H22" s="23"/>
      <c r="I22" s="23"/>
      <c r="J22" s="23">
        <f>J18*J20</f>
        <v>0.41577751109459826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53.390999999999998</v>
      </c>
      <c r="C30" s="39">
        <f>IF(ISERROR(B30*3.6/1000000/'E Balans VL '!Z18*100),0,B30*3.6/1000000/'E Balans VL '!Z18*100)</f>
        <v>3.0258048734781496E-3</v>
      </c>
      <c r="D30" s="233" t="s">
        <v>732</v>
      </c>
    </row>
    <row r="31" spans="1:18">
      <c r="A31" s="6" t="s">
        <v>32</v>
      </c>
      <c r="B31" s="37">
        <f>IF( ISERROR(IND_ander_ele_kWh/1000),0,IND_ander_ele_kWh/1000)</f>
        <v>453.08987226680802</v>
      </c>
      <c r="C31" s="39">
        <f>IF(ISERROR(B31*3.6/1000000/'E Balans VL '!Z19*100),0,B31*3.6/1000000/'E Balans VL '!Z19*100)</f>
        <v>2.0550269972630566E-2</v>
      </c>
      <c r="D31" s="233" t="s">
        <v>732</v>
      </c>
    </row>
    <row r="32" spans="1:18">
      <c r="A32" s="168" t="s">
        <v>40</v>
      </c>
      <c r="B32" s="37">
        <f>IF( ISERROR(IND_voed_ele_kWh/1000),0,IND_voed_ele_kWh/1000)</f>
        <v>0</v>
      </c>
      <c r="C32" s="39">
        <f>IF(ISERROR(B32*3.6/1000000/'E Balans VL '!Z20*100),0,B32*3.6/1000000/'E Balans VL '!Z20*100)</f>
        <v>0</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328.07792788068002</v>
      </c>
      <c r="C37" s="39">
        <f>IF(ISERROR(B37*3.6/1000000/'E Balans VL '!Z15*100),0,B37*3.6/1000000/'E Balans VL '!Z15*100)</f>
        <v>2.6004204964692689E-3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661.7814037205867</v>
      </c>
      <c r="C5" s="17">
        <f>'Eigen informatie GS &amp; warmtenet'!B60</f>
        <v>0</v>
      </c>
      <c r="D5" s="30">
        <f>IF(ISERROR(SUM(LB_lb_gas_kWh,LB_rest_gas_kWh)/1000),0,SUM(LB_lb_gas_kWh,LB_rest_gas_kWh)/1000)*0.902</f>
        <v>170.67727769976327</v>
      </c>
      <c r="E5" s="17">
        <f>B17*'E Balans VL '!I25/3.6*1000000/100</f>
        <v>19.451776769058064</v>
      </c>
      <c r="F5" s="17">
        <f>B17*('E Balans VL '!L25/3.6*1000000+'E Balans VL '!N25/3.6*1000000)/100</f>
        <v>2756.9455671099076</v>
      </c>
      <c r="G5" s="18"/>
      <c r="H5" s="17"/>
      <c r="I5" s="17"/>
      <c r="J5" s="17">
        <f>('E Balans VL '!D25+'E Balans VL '!E25)/3.6*1000000*landbouw!B17/100</f>
        <v>95.877913480785907</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661.7814037205867</v>
      </c>
      <c r="C8" s="21">
        <f>C5+C6</f>
        <v>0</v>
      </c>
      <c r="D8" s="21">
        <f>MAX((D5+D6),0)</f>
        <v>170.67727769976327</v>
      </c>
      <c r="E8" s="21">
        <f>MAX((E5+E6),0)</f>
        <v>19.451776769058064</v>
      </c>
      <c r="F8" s="21">
        <f>MAX((F5+F6),0)</f>
        <v>2756.9455671099076</v>
      </c>
      <c r="G8" s="21"/>
      <c r="H8" s="21"/>
      <c r="I8" s="21"/>
      <c r="J8" s="21">
        <f>MAX((J5+J6),0)</f>
        <v>95.877913480785907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0.20240560707601418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133.94826677168217</v>
      </c>
      <c r="C12" s="23">
        <f ca="1">C8*C10</f>
        <v>0</v>
      </c>
      <c r="D12" s="23">
        <f>D8*D10</f>
        <v>34.476810095352185</v>
      </c>
      <c r="E12" s="23">
        <f>E8*E10</f>
        <v>4.4155533265761804</v>
      </c>
      <c r="F12" s="23">
        <f>F8*F10</f>
        <v>736.1044664183454</v>
      </c>
      <c r="G12" s="23"/>
      <c r="H12" s="23"/>
      <c r="I12" s="23"/>
      <c r="J12" s="23">
        <f>J8*J10</f>
        <v>33.940781372198209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9.3908857463785481E-2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49.307308081444511</v>
      </c>
      <c r="C26" s="243">
        <f>B26*'GWP N2O_CH4'!B5</f>
        <v>1035.4534697103347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21.950870866586676</v>
      </c>
      <c r="C27" s="243">
        <f>B27*'GWP N2O_CH4'!B5</f>
        <v>460.96828819832018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0.78556602812473586</v>
      </c>
      <c r="C28" s="243">
        <f>B28*'GWP N2O_CH4'!B4</f>
        <v>243.52546871866812</v>
      </c>
      <c r="D28" s="50"/>
    </row>
    <row r="29" spans="1:4">
      <c r="A29" s="41" t="s">
        <v>271</v>
      </c>
      <c r="B29" s="243">
        <f>B34*'ha_N2O bodem landbouw'!B4</f>
        <v>13.367656432656704</v>
      </c>
      <c r="C29" s="243">
        <f>B29*'GWP N2O_CH4'!B4</f>
        <v>4143.9734941235783</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3.050453130938807E-3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3.2960046214057477E-4</v>
      </c>
      <c r="C5" s="431" t="s">
        <v>210</v>
      </c>
      <c r="D5" s="416">
        <f>SUM(D6:D11)</f>
        <v>5.1280724345393323E-4</v>
      </c>
      <c r="E5" s="416">
        <f>SUM(E6:E11)</f>
        <v>1.0021612477211016E-3</v>
      </c>
      <c r="F5" s="429" t="s">
        <v>210</v>
      </c>
      <c r="G5" s="416">
        <f>SUM(G6:G11)</f>
        <v>0.38851772186761724</v>
      </c>
      <c r="H5" s="416">
        <f>SUM(H6:H11)</f>
        <v>8.4395640953734863E-2</v>
      </c>
      <c r="I5" s="431" t="s">
        <v>210</v>
      </c>
      <c r="J5" s="431" t="s">
        <v>210</v>
      </c>
      <c r="K5" s="431" t="s">
        <v>210</v>
      </c>
      <c r="L5" s="431" t="s">
        <v>210</v>
      </c>
      <c r="M5" s="416">
        <f>SUM(M6:M11)</f>
        <v>2.5183952613562405E-2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4.4995703535143627E-5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7.5645690105807011E-5</v>
      </c>
      <c r="E6" s="859">
        <f>vkm_GW_PW*SUMIFS(TableVerdeelsleutelVkm[LPG],TableVerdeelsleutelVkm[Voertuigtype],"Lichte voertuigen")*SUMIFS(TableECFTransport[EnergieConsumptieFactor (PJ per km)],TableECFTransport[Index],CONCATENATE($A6,"_LPG_LPG"))</f>
        <v>1.3309923978263577E-4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3.9490159074748017E-2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1.2221590236165168E-2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2.6670436298722308E-3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4.2857304645229623E-7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1.376594565391874E-2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2.2459948009317307E-7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8.0428286171093538E-4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6.809454506397032E-5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1.4678715568205124E-4</v>
      </c>
      <c r="E8" s="419">
        <f>vkm_NGW_PW*SUMIFS(TableVerdeelsleutelVkm[LPG],TableVerdeelsleutelVkm[Voertuigtype],"Lichte voertuigen")*SUMIFS(TableECFTransport[EnergieConsumptieFactor (PJ per km)],TableECFTransport[Index],CONCATENATE($A8,"_LPG_LPG"))</f>
        <v>2.4731975671853031E-4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6.8237821715065816E-2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2.3227856559460431E-2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4.6706746051669639E-3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3.0109619795523853E-7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1.2408964284390995E-2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1.9046080264956519E-7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7.2500013390810211E-4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2.1297590592497741E-4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2.9037439766607496E-4</v>
      </c>
      <c r="E10" s="419">
        <f>vkm_SW_PW*SUMIFS(TableVerdeelsleutelVkm[LPG],TableVerdeelsleutelVkm[Voertuigtype],"Lichte voertuigen")*SUMIFS(TableECFTransport[EnergieConsumptieFactor (PJ per km)],TableECFTransport[Index],CONCATENATE($A10,"_LPG_LPG"))</f>
        <v>6.2174225121993537E-4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0.1688092511936124</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4.8944266264081021E-2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1.1303710384524181E-2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2.8046383720758985E-6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8.5805579945881214E-2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1.5128337455050778E-6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5.0132409983799937E-3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91.555683927937437</v>
      </c>
      <c r="C14" s="21"/>
      <c r="D14" s="21">
        <f t="shared" ref="D14:M14" si="0">((D5)*10^9/3600)+D12</f>
        <v>142.44645651498146</v>
      </c>
      <c r="E14" s="21">
        <f t="shared" si="0"/>
        <v>278.37812436697266</v>
      </c>
      <c r="F14" s="21"/>
      <c r="G14" s="21">
        <f t="shared" si="0"/>
        <v>107921.58940767146</v>
      </c>
      <c r="H14" s="21">
        <f t="shared" si="0"/>
        <v>23443.233598259685</v>
      </c>
      <c r="I14" s="21"/>
      <c r="J14" s="21"/>
      <c r="K14" s="21"/>
      <c r="L14" s="21"/>
      <c r="M14" s="21">
        <f t="shared" si="0"/>
        <v>6995.5423926562235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0.20240560707601418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18.531383786693851</v>
      </c>
      <c r="C18" s="23"/>
      <c r="D18" s="23">
        <f t="shared" ref="D18:M18" si="1">D14*D16</f>
        <v>28.774184216026256</v>
      </c>
      <c r="E18" s="23">
        <f t="shared" si="1"/>
        <v>63.191834231302792</v>
      </c>
      <c r="F18" s="23"/>
      <c r="G18" s="23">
        <f t="shared" si="1"/>
        <v>28815.064371848282</v>
      </c>
      <c r="H18" s="23">
        <f t="shared" si="1"/>
        <v>5837.3651659666612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8.4813422782832238E-5</v>
      </c>
      <c r="C50" s="313">
        <f t="shared" ref="C50:P50" si="2">SUM(C51:C52)</f>
        <v>0</v>
      </c>
      <c r="D50" s="313">
        <f t="shared" si="2"/>
        <v>0</v>
      </c>
      <c r="E50" s="313">
        <f t="shared" si="2"/>
        <v>0</v>
      </c>
      <c r="F50" s="313">
        <f t="shared" si="2"/>
        <v>0</v>
      </c>
      <c r="G50" s="313">
        <f t="shared" si="2"/>
        <v>7.9673792212195029E-3</v>
      </c>
      <c r="H50" s="313">
        <f t="shared" si="2"/>
        <v>0</v>
      </c>
      <c r="I50" s="313">
        <f t="shared" si="2"/>
        <v>0</v>
      </c>
      <c r="J50" s="313">
        <f t="shared" si="2"/>
        <v>0</v>
      </c>
      <c r="K50" s="313">
        <f t="shared" si="2"/>
        <v>0</v>
      </c>
      <c r="L50" s="313">
        <f t="shared" si="2"/>
        <v>0</v>
      </c>
      <c r="M50" s="313">
        <f t="shared" si="2"/>
        <v>4.5881744716623452E-4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8.4813422782832238E-5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7.9673792212195029E-3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4.5881744716623452E-4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23.559284106342286</v>
      </c>
      <c r="C54" s="21">
        <f t="shared" ref="C54:P54" si="3">(C50)*10^9/3600</f>
        <v>0</v>
      </c>
      <c r="D54" s="21">
        <f t="shared" si="3"/>
        <v>0</v>
      </c>
      <c r="E54" s="21">
        <f t="shared" si="3"/>
        <v>0</v>
      </c>
      <c r="F54" s="21">
        <f t="shared" si="3"/>
        <v>0</v>
      </c>
      <c r="G54" s="21">
        <f t="shared" si="3"/>
        <v>2213.1608947831955</v>
      </c>
      <c r="H54" s="21">
        <f t="shared" si="3"/>
        <v>0</v>
      </c>
      <c r="I54" s="21">
        <f t="shared" si="3"/>
        <v>0</v>
      </c>
      <c r="J54" s="21">
        <f t="shared" si="3"/>
        <v>0</v>
      </c>
      <c r="K54" s="21">
        <f t="shared" si="3"/>
        <v>0</v>
      </c>
      <c r="L54" s="21">
        <f t="shared" si="3"/>
        <v>0</v>
      </c>
      <c r="M54" s="21">
        <f t="shared" si="3"/>
        <v>127.44929087950959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0.20240560707601418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4.7685312018205028</v>
      </c>
      <c r="C58" s="23">
        <f t="shared" ref="C58:P58" ca="1" si="4">C54*C56</f>
        <v>0</v>
      </c>
      <c r="D58" s="23">
        <f t="shared" si="4"/>
        <v>0</v>
      </c>
      <c r="E58" s="23">
        <f t="shared" si="4"/>
        <v>0</v>
      </c>
      <c r="F58" s="23">
        <f t="shared" si="4"/>
        <v>0</v>
      </c>
      <c r="G58" s="23">
        <f t="shared" si="4"/>
        <v>590.91395890711328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2802.8810848564681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2802.8810848564681</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2021-06-29T15:39:11Z</dcterms:modified>
</cp:coreProperties>
</file>