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<sst xmlns="http://schemas.openxmlformats.org/spreadsheetml/2006/main" count="2485" uniqueCount="908">
  <si>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</si>
  <si>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</si>
  <si>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</si>
  <si>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</si>
  <si>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</si>
  <si>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</si>
  <si>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</si>
  <si>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</si>
  <si>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</si>
  <si>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</si>
  <si>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</si>
  <si>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</si>
  <si>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</si>
  <si>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</si>
  <si>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</si>
  <si>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</si>
  <si>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</si>
  <si>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</si>
  <si>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</si>
  <si>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</si>
  <si>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</si>
  <si>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</si>
  <si>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</si>
  <si>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</si>
  <si>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</si>
  <si>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</si>
  <si>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</si>
  <si>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</si>
  <si>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</si>
  <si>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</si>
  <si>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</si>
  <si>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</si>
  <si>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</si>
  <si>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</si>
  <si>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</si>
  <si>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</si>
  <si>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</si>
  <si>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</si>
  <si>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</si>
  <si>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</si>
  <si>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</si>
  <si>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</si>
  <si>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</si>
  <si>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</si>
  <si>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</si>
  <si>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</si>
  <si>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</si>
  <si>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</si>
  <si>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</si>
  <si>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</si>
  <si>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</si>
  <si>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</si>
  <si>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</si>
  <si>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</si>
  <si>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</si>
  <si>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</si>
  <si>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</si>
  <si>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</si>
  <si>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</si>
  <si>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</si>
  <si>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</si>
  <si>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</si>
  <si>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</si>
  <si>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</si>
  <si>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</si>
  <si>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</si>
  <si>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</si>
  <si>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</si>
  <si>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</si>
  <si>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</si>
  <si>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</si>
  <si>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</si>
  <si>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</si>
  <si>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</si>
  <si>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</si>
  <si>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</si>
  <si>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</si>
  <si>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</si>
  <si>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</si>
  <si>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</si>
  <si>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</si>
  <si>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</si>
  <si>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</si>
  <si>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</si>
  <si>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</si>
  <si>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</si>
  <si>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</si>
  <si>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</si>
  <si>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</si>
  <si>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</si>
  <si>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</si>
  <si>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</si>
  <si>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</si>
  <si>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</si>
  <si>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</si>
  <si>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</si>
  <si>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</si>
  <si>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</si>
  <si>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</si>
  <si>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</si>
  <si>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</si>
  <si>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</si>
  <si>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</si>
  <si>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</si>
  <si>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</si>
  <si>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</si>
  <si>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</si>
  <si>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</si>
  <si>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</si>
  <si>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</si>
  <si>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</si>
  <si>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</si>
  <si>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</si>
  <si>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</si>
  <si>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</si>
  <si>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</si>
  <si>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</si>
  <si>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</si>
  <si>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</si>
  <si>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</si>
  <si>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</si>
  <si>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</si>
  <si>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</si>
  <si>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</si>
  <si>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</si>
  <si>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</si>
  <si>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</si>
  <si>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</si>
  <si>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</si>
  <si>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</si>
  <si>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</si>
  <si>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</si>
  <si>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</si>
  <si>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</si>
  <si>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</si>
  <si>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</si>
  <si>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</si>
  <si>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</si>
  <si>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</si>
  <si>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</si>
  <si>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</si>
  <si>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</si>
  <si>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</si>
  <si>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</si>
  <si>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</si>
  <si>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</si>
  <si>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</si>
  <si>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</si>
  <si>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</si>
  <si>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</si>
  <si>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</si>
  <si>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</si>
  <si>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</si>
  <si>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</si>
  <si>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</si>
  <si>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</si>
  <si>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</si>
  <si>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</si>
  <si>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</si>
  <si>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</si>
  <si>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</si>
  <si>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</si>
  <si>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</si>
  <si>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</si>
  <si>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</si>
  <si>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</si>
  <si>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</si>
  <si>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</si>
  <si>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</si>
  <si>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</si>
  <si>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</si>
  <si>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</si>
  <si>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</si>
  <si>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</si>
  <si>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</si>
  <si>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</si>
  <si>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</si>
  <si>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</si>
  <si>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</si>
  <si>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</si>
  <si>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</si>
  <si>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</si>
  <si>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</si>
  <si>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</si>
  <si>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</si>
  <si>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</si>
  <si>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</si>
  <si>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</si>
  <si>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</si>
  <si>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</si>
  <si>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</si>
  <si>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</si>
  <si>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</si>
  <si>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</si>
  <si>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</si>
  <si>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</si>
  <si>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</si>
  <si>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</si>
  <si>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</si>
  <si>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</si>
  <si>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</si>
  <si>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</si>
  <si>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</si>
  <si>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</si>
  <si>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</si>
  <si>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</si>
  <si>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</si>
  <si>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</si>
  <si>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</si>
  <si>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</si>
  <si>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</si>
  <si>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</si>
  <si>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</si>
  <si>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</si>
  <si>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</si>
  <si>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</si>
  <si>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</si>
  <si>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</si>
  <si>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</si>
  <si>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</si>
  <si>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</si>
  <si>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</si>
  <si>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</si>
  <si>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</si>
  <si>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</si>
  <si>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</si>
  <si>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</si>
  <si>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</si>
  <si>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</si>
  <si>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</si>
  <si>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</si>
  <si>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</si>
  <si>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</si>
  <si>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</si>
  <si>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</si>
  <si>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</si>
  <si>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</si>
  <si>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</si>
  <si>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</si>
  <si>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</si>
  <si>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</si>
  <si>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</si>
  <si>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</si>
  <si>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</si>
  <si>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</si>
  <si>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</si>
  <si>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</si>
  <si>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</si>
  <si>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</si>
  <si>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</si>
  <si>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</si>
  <si>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</si>
  <si>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</si>
  <si>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</si>
  <si>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</si>
  <si>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</si>
  <si>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</si>
  <si>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</si>
  <si>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</si>
  <si>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</si>
  <si>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</si>
  <si>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</si>
  <si>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</si>
  <si>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</si>
  <si>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</si>
  <si>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</si>
  <si>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</si>
  <si>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</si>
  <si>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</si>
  <si>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</si>
  <si>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</si>
  <si>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</si>
  <si>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</si>
  <si>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</si>
  <si>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</si>
  <si>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</si>
  <si>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</si>
  <si>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</si>
  <si>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</si>
  <si>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</si>
  <si>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</si>
  <si>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</si>
  <si>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</si>
  <si>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</si>
  <si>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</si>
  <si>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</si>
  <si>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</si>
  <si>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</si>
  <si>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</si>
  <si>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</si>
  <si>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</si>
  <si>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</si>
  <si>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</si>
  <si>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</si>
  <si>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</si>
  <si>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</si>
  <si>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</si>
  <si>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</si>
  <si>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</si>
  <si>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</si>
  <si>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</si>
  <si>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</si>
  <si>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</si>
  <si>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</si>
  <si>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</si>
  <si>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</si>
  <si>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</si>
  <si>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</si>
  <si>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</si>
  <si>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</si>
  <si>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</si>
  <si>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</si>
  <si>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</si>
  <si>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</si>
  <si>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</si>
  <si>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</si>
  <si>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</si>
  <si>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</si>
  <si>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</si>
  <si>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</si>
  <si>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</si>
  <si>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</si>
  <si>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</si>
  <si>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</si>
  <si>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</si>
  <si>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</si>
  <si>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</si>
  <si>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</si>
  <si>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</si>
  <si>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</si>
  <si>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</si>
  <si>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</si>
  <si>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</si>
  <si>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</si>
  <si>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</si>
  <si>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</si>
  <si>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</si>
  <si>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</si>
  <si>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</si>
  <si>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</si>
  <si>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</si>
  <si>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</si>
  <si>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</si>
  <si>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</si>
  <si>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</si>
  <si>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</si>
  <si>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</si>
  <si>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</si>
  <si>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</si>
  <si>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</si>
  <si>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</si>
  <si>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</si>
  <si>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</si>
  <si>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</si>
  <si>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</si>
  <si>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</si>
  <si>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</si>
  <si>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</si>
  <si>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</si>
  <si>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</si>
  <si>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</si>
  <si>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</si>
  <si>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</si>
  <si>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</si>
  <si>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</si>
  <si>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</si>
  <si>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</si>
  <si>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</si>
  <si>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</si>
  <si>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</si>
  <si>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</si>
  <si>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</si>
  <si>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</si>
  <si>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</si>
  <si>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</si>
  <si>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</si>
  <si>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</si>
  <si>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</si>
  <si>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</si>
  <si>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</si>
  <si>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</si>
  <si>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</si>
  <si>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</si>
  <si>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</si>
  <si>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</si>
  <si>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</si>
  <si>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</si>
  <si>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</si>
  <si>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</si>
  <si>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</si>
  <si>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</si>
  <si>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</si>
  <si>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</si>
  <si>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</si>
  <si>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</si>
  <si>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</si>
  <si>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</si>
  <si>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</si>
  <si>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</si>
  <si>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</si>
  <si>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</si>
  <si>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</si>
  <si>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</si>
  <si>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</si>
  <si>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</si>
  <si>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</si>
  <si>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</si>
  <si>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</si>
  <si>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</si>
  <si>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</si>
  <si>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</si>
  <si>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</si>
  <si>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</si>
  <si>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</si>
  <si>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</si>
  <si>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</si>
  <si>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</si>
  <si>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</si>
  <si>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</si>
  <si>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</si>
  <si>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</si>
  <si>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</si>
  <si>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</si>
  <si>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</si>
  <si>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</si>
  <si>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</si>
  <si>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</si>
  <si>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</si>
  <si>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</si>
  <si>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</si>
  <si>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</si>
  <si>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</si>
  <si>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</si>
  <si>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</si>
  <si>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</si>
  <si>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</si>
  <si>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</si>
  <si>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</si>
  <si>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</si>
  <si>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</si>
  <si>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</si>
  <si>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</si>
  <si>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</si>
  <si>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</si>
  <si>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</si>
  <si>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</si>
  <si>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</si>
  <si>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</si>
  <si>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</si>
  <si>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</si>
  <si>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</si>
  <si>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</si>
  <si>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</si>
  <si>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</si>
  <si>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</si>
  <si>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</si>
  <si>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</si>
  <si>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</si>
  <si>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</si>
  <si>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</si>
  <si>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</si>
  <si>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</si>
  <si>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</si>
  <si>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</si>
  <si>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</si>
  <si>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</si>
  <si>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</si>
  <si>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</si>
  <si>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</si>
  <si>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</si>
  <si>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</si>
  <si>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</si>
  <si>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</si>
  <si>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</si>
  <si>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</si>
  <si>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</si>
  <si>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</si>
  <si>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</si>
  <si>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</si>
  <si>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</si>
  <si>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</si>
  <si>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</si>
  <si>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</si>
  <si>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</si>
  <si>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</si>
  <si>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</si>
  <si>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</si>
  <si>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</si>
  <si>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</si>
  <si>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</si>
  <si>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</si>
  <si>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</si>
  <si>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</si>
  <si>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</si>
  <si>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</si>
  <si>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</si>
  <si>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</si>
  <si>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</si>
  <si>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</si>
  <si>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</si>
  <si>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</si>
  <si>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</si>
  <si>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</si>
  <si>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</si>
  <si>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</si>
  <si>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</si>
  <si>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</si>
  <si>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</si>
  <si>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</si>
  <si>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</si>
  <si>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</si>
  <si>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</si>
  <si>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</si>
  <si>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</si>
  <si>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</si>
  <si>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</si>
  <si>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</si>
  <si>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</si>
  <si>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</si>
  <si>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</si>
  <si>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</si>
  <si>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</si>
  <si>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</si>
  <si>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</si>
  <si>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</si>
  <si>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</si>
  <si>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</si>
  <si>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</si>
  <si>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</si>
  <si>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</si>
  <si>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</si>
  <si>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</si>
  <si>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</si>
  <si>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</si>
  <si>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</si>
  <si>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</si>
  <si>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</si>
  <si>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</si>
  <si>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</si>
  <si>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</si>
  <si>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</si>
  <si>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</si>
  <si>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</si>
  <si>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</si>
  <si>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</si>
  <si>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</si>
  <si>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</si>
  <si>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</si>
  <si>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</si>
  <si>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</si>
  <si>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</si>
  <si>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</si>
  <si>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</si>
  <si>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</si>
  <si>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</si>
  <si>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</si>
  <si>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</si>
  <si>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</si>
  <si>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</si>
  <si>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</si>
  <si>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</si>
  <si>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</si>
  <si>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</si>
  <si>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</si>
  <si>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</si>
  <si>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</si>
  <si>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</si>
  <si>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</si>
  <si>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</si>
  <si>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</si>
  <si>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</si>
  <si>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</si>
  <si>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</si>
  <si>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</si>
  <si>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</si>
  <si>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</si>
  <si>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</si>
  <si>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</si>
  <si>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</si>
  <si>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</si>
  <si>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</si>
  <si>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</si>
  <si>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</si>
  <si>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</si>
  <si>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</si>
  <si>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</si>
  <si>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</si>
  <si>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</si>
  <si>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</si>
  <si>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</si>
  <si>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</si>
  <si>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</si>
  <si>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</si>
  <si>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</si>
  <si>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</si>
  <si>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</si>
  <si>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</si>
  <si>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</si>
  <si>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</si>
  <si>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</si>
  <si>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</si>
  <si>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</si>
  <si>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</si>
  <si>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</si>
  <si>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</si>
  <si>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</si>
  <si>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</si>
  <si>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</si>
  <si>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</si>
  <si>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</si>
  <si>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</si>
  <si>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</si>
  <si>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</si>
  <si>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</si>
  <si>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</si>
  <si>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</si>
  <si>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</si>
  <si>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</si>
  <si>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</si>
  <si>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</si>
  <si>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</si>
  <si>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</si>
  <si>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</si>
  <si>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</si>
  <si>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</si>
  <si>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</si>
  <si>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</si>
  <si>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</si>
  <si>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</si>
  <si>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</si>
  <si>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</si>
  <si>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</si>
  <si>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</si>
  <si>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</si>
  <si>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</si>
  <si>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</si>
  <si>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</si>
  <si>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</si>
  <si>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</si>
  <si>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</si>
  <si>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</si>
  <si>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</si>
  <si>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</si>
  <si>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</si>
  <si>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</si>
  <si>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</si>
  <si>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</si>
  <si>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</si>
  <si>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</si>
  <si>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</si>
  <si>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</si>
  <si>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</si>
  <si>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</si>
  <si>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</si>
  <si>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</si>
  <si>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</si>
  <si>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</si>
  <si>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</si>
  <si>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</si>
  <si>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</si>
  <si>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</si>
  <si>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</si>
  <si>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</si>
  <si>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</si>
  <si>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</si>
  <si>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</si>
  <si>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</si>
  <si>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</si>
  <si>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</si>
  <si>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</si>
  <si>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</si>
  <si>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</si>
  <si>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</si>
  <si>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</si>
  <si>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</si>
  <si>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</si>
  <si>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</si>
  <si>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</si>
  <si>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</si>
  <si>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</si>
  <si>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</si>
  <si>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</si>
  <si>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</si>
  <si>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</si>
  <si>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</si>
  <si>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</si>
  <si>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</si>
  <si>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</si>
  <si>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</si>
  <si>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</si>
  <si>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</si>
  <si>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</si>
  <si>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</si>
  <si>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</si>
  <si>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</si>
  <si>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</si>
  <si>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</si>
  <si>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</si>
  <si>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</si>
  <si>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</si>
  <si>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</si>
  <si>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</si>
  <si>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</si>
  <si>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</si>
  <si>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</si>
  <si>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</si>
  <si>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</si>
  <si>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</si>
  <si>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</si>
  <si>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</si>
  <si>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</si>
  <si>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</si>
  <si>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</si>
  <si>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</si>
  <si>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</si>
  <si>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</si>
  <si>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</si>
  <si>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</si>
  <si>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</si>
  <si>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</si>
  <si>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</si>
  <si>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</si>
  <si>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</si>
  <si>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</si>
  <si>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</si>
  <si>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</si>
  <si>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</si>
  <si>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</si>
  <si>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</si>
  <si>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</si>
  <si>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</si>
  <si>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</si>
  <si>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</si>
  <si>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</si>
  <si>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</si>
  <si>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</si>
  <si>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</si>
  <si>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</si>
  <si>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</si>
  <si>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</si>
  <si>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</si>
  <si>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</si>
  <si>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</si>
  <si>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</si>
  <si>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</si>
  <si>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</si>
  <si>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</si>
  <si>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</si>
  <si>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</si>
  <si>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</si>
  <si>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</si>
  <si>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</si>
  <si>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</si>
  <si>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</si>
  <si>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</si>
  <si>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</si>
  <si>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</si>
  <si>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</si>
  <si>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</si>
  <si>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</si>
  <si>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</si>
  <si>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</si>
  <si>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</si>
  <si>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</si>
  <si>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</si>
  <si>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</si>
  <si>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</si>
  <si>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</si>
  <si>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</si>
  <si>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</si>
  <si>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</si>
  <si>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</si>
  <si>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</si>
  <si>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</si>
  <si>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</si>
  <si>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</si>
  <si>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</si>
  <si>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</si>
  <si>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</si>
  <si>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</si>
  <si>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</si>
  <si>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</si>
  <si>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</si>
  <si>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</si>
  <si>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</si>
  <si>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</si>
  <si>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</si>
  <si>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</si>
  <si>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</si>
  <si>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</si>
  <si>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</si>
  <si>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</si>
  <si>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</si>
  <si>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</si>
  <si>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</si>
  <si>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</si>
  <si>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</si>
  <si>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</si>
  <si>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</si>
  <si>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</si>
  <si>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</si>
  <si>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</si>
  <si>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</si>
  <si>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</si>
  <si>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</si>
  <si>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</si>
  <si>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</si>
  <si>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</si>
  <si>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</si>
  <si>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</si>
  <si>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</si>
  <si>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</si>
  <si>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</si>
  <si>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</si>
  <si>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</si>
  <si>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</si>
  <si>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</si>
  <si>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</si>
  <si>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</si>
  <si>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</si>
  <si>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</si>
  <si>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</si>
  <si>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</si>
  <si>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</si>
  <si>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</si>
  <si>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</si>
  <si>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</si>
  <si>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</si>
  <si>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</si>
  <si>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</si>
  <si>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</si>
  <si>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</si>
  <si>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</si>
  <si>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</si>
  <si>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</si>
  <si>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</si>
  <si>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</si>
  <si>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</si>
  <si>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</si>
  <si>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</si>
  <si>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</si>
  <si>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</si>
  <si>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</si>
  <si>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</si>
  <si>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</si>
  <si>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</si>
  <si>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</si>
  <si>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</si>
  <si>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</si>
  <si>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</si>
  <si>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</si>
  <si>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</si>
  <si>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</si>
  <si>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</si>
  <si>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</si>
  <si>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</si>
  <si>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</si>
  <si>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</si>
  <si>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</si>
  <si>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</si>
  <si>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</si>
  <si>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</si>
  <si>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</si>
  <si>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</si>
  <si>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</si>
  <si>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</si>
  <si>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</si>
  <si>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</si>
  <si>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</si>
  <si>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</si>
  <si>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</si>
  <si>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</si>
  <si>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</si>
  <si>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</si>
  <si>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</si>
  <si>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</si>
  <si>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</si>
  <si>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</si>
  <si>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</si>
  <si>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</si>
  <si>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</si>
  <si>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</si>
  <si>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</si>
  <si>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</si>
  <si>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</si>
  <si>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</si>
  <si>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</si>
  <si>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</si>
  <si>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</si>
  <si>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</si>
  <si>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</si>
  <si>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</si>
  <si>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</si>
  <si>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</si>
  <si>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</si>
  <si>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</si>
  <si>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</si>
  <si>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</si>
  <si>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23104</t>
  </si>
  <si>
    <t>LENNIK</t>
  </si>
  <si>
    <t>Fluvius</t>
  </si>
  <si>
    <t>referentietaak LNE (2017); Jaarverslag De Lijn</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</si>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</sst>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82562.19904268485</c:v>
                </c:pt>
                <c:pt idx="1">
                  <c:v>19581.010490345609</c:v>
                </c:pt>
                <c:pt idx="2">
                  <c:v>620.84799999999996</c:v>
                </c:pt>
                <c:pt idx="3">
                  <c:v>7246.2919608290022</c:v>
                </c:pt>
                <c:pt idx="4">
                  <c:v>4246.6147408788429</c:v>
                </c:pt>
                <c:pt idx="5">
                  <c:v>93353.015354047835</c:v>
                </c:pt>
                <c:pt idx="6">
                  <c:v>1859.8943006525262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82562.19904268485</c:v>
                </c:pt>
                <c:pt idx="1">
                  <c:v>19581.010490345609</c:v>
                </c:pt>
                <c:pt idx="2">
                  <c:v>620.84799999999996</c:v>
                </c:pt>
                <c:pt idx="3">
                  <c:v>7246.2919608290022</c:v>
                </c:pt>
                <c:pt idx="4">
                  <c:v>4246.6147408788429</c:v>
                </c:pt>
                <c:pt idx="5">
                  <c:v>93353.015354047835</c:v>
                </c:pt>
                <c:pt idx="6">
                  <c:v>1859.8943006525262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17601.302472167197</c:v>
                </c:pt>
                <c:pt idx="2">
                  <c:v>3986.0343848820917</c:v>
                </c:pt>
                <c:pt idx="3">
                  <c:v>128.83305878154164</c:v>
                </c:pt>
                <c:pt idx="4">
                  <c:v>1702.5963717791785</c:v>
                </c:pt>
                <c:pt idx="5">
                  <c:v>909.22459795711893</c:v>
                </c:pt>
                <c:pt idx="6">
                  <c:v>23337.751571863675</c:v>
                </c:pt>
                <c:pt idx="7">
                  <c:v>468.7185959019352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17601.302472167197</c:v>
                </c:pt>
                <c:pt idx="2">
                  <c:v>3986.0343848820917</c:v>
                </c:pt>
                <c:pt idx="3">
                  <c:v>128.83305878154164</c:v>
                </c:pt>
                <c:pt idx="4">
                  <c:v>1702.5963717791785</c:v>
                </c:pt>
                <c:pt idx="5">
                  <c:v>909.22459795711893</c:v>
                </c:pt>
                <c:pt idx="6">
                  <c:v>23337.751571863675</c:v>
                </c:pt>
                <c:pt idx="7">
                  <c:v>468.7185959019352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23104</v>
      </c>
      <c r="B6" s="384"/>
      <c r="C6" s="385"/>
    </row>
    <row r="7" spans="1:7" s="382" customFormat="1" ht="15.75" customHeight="1">
      <c r="A7" s="386" t="str">
        <f>txtMunicipality</f>
        <v>LENNIK</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8579.1392218486453</v>
      </c>
      <c r="D10" s="973">
        <f ca="1">tertiair!C16</f>
        <v>0</v>
      </c>
      <c r="E10" s="973">
        <f ca="1">tertiair!D16</f>
        <v>9612.5374604348326</v>
      </c>
      <c r="F10" s="973">
        <f>tertiair!E16</f>
        <v>126.05059793790606</v>
      </c>
      <c r="G10" s="973">
        <f ca="1">tertiair!F16</f>
        <v>1364.2225650853434</v>
      </c>
      <c r="H10" s="973">
        <f>tertiair!G16</f>
        <v>0</v>
      </c>
      <c r="I10" s="973">
        <f>tertiair!H16</f>
        <v>0</v>
      </c>
      <c r="J10" s="973">
        <f>tertiair!I16</f>
        <v>0</v>
      </c>
      <c r="K10" s="973">
        <f>tertiair!J16</f>
        <v>1.2665419533474668E-2</v>
      </c>
      <c r="L10" s="973">
        <f>tertiair!K16</f>
        <v>0</v>
      </c>
      <c r="M10" s="973">
        <f ca="1">tertiair!L16</f>
        <v>0</v>
      </c>
      <c r="N10" s="973">
        <f>tertiair!M16</f>
        <v>0</v>
      </c>
      <c r="O10" s="973">
        <f ca="1">tertiair!N16</f>
        <v>516.76931295268298</v>
      </c>
      <c r="P10" s="973">
        <f>tertiair!O16</f>
        <v>3.1266666666666669</v>
      </c>
      <c r="Q10" s="974">
        <f>tertiair!P16</f>
        <v>0</v>
      </c>
      <c r="R10" s="668">
        <f ca="1">SUM(C10:Q10)</f>
        <v>20201.858490345607</v>
      </c>
      <c r="S10" s="67"/>
    </row>
    <row r="11" spans="1:19" s="441" customFormat="1">
      <c r="A11" s="777" t="s">
        <v>219</v>
      </c>
      <c r="B11" s="782"/>
      <c r="C11" s="973">
        <f>huishoudens!B8</f>
        <v>17915.901163581839</v>
      </c>
      <c r="D11" s="973">
        <f>huishoudens!C8</f>
        <v>0</v>
      </c>
      <c r="E11" s="973">
        <f>huishoudens!D8</f>
        <v>25796.003494892208</v>
      </c>
      <c r="F11" s="973">
        <f>huishoudens!E8</f>
        <v>1232.8466368621341</v>
      </c>
      <c r="G11" s="973">
        <f>huishoudens!F8</f>
        <v>31234.807519578004</v>
      </c>
      <c r="H11" s="973">
        <f>huishoudens!G8</f>
        <v>0</v>
      </c>
      <c r="I11" s="973">
        <f>huishoudens!H8</f>
        <v>0</v>
      </c>
      <c r="J11" s="973">
        <f>huishoudens!I8</f>
        <v>0</v>
      </c>
      <c r="K11" s="973">
        <f>huishoudens!J8</f>
        <v>150.29838951359145</v>
      </c>
      <c r="L11" s="973">
        <f>huishoudens!K8</f>
        <v>0</v>
      </c>
      <c r="M11" s="973">
        <f>huishoudens!L8</f>
        <v>0</v>
      </c>
      <c r="N11" s="973">
        <f>huishoudens!M8</f>
        <v>0</v>
      </c>
      <c r="O11" s="973">
        <f>huishoudens!N8</f>
        <v>5539.9651715903965</v>
      </c>
      <c r="P11" s="973">
        <f>huishoudens!O8</f>
        <v>120.37666666666668</v>
      </c>
      <c r="Q11" s="974">
        <f>huishoudens!P8</f>
        <v>572</v>
      </c>
      <c r="R11" s="668">
        <f>SUM(C11:Q11)</f>
        <v>82562.19904268485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2209.1534380034095</v>
      </c>
      <c r="D13" s="973">
        <f>industrie!C18</f>
        <v>0</v>
      </c>
      <c r="E13" s="973">
        <f>industrie!D18</f>
        <v>569.23247301548054</v>
      </c>
      <c r="F13" s="973">
        <f>industrie!E18</f>
        <v>330.71932002791715</v>
      </c>
      <c r="G13" s="973">
        <f>industrie!F18</f>
        <v>970.72715135710973</v>
      </c>
      <c r="H13" s="973">
        <f>industrie!G18</f>
        <v>0</v>
      </c>
      <c r="I13" s="973">
        <f>industrie!H18</f>
        <v>0</v>
      </c>
      <c r="J13" s="973">
        <f>industrie!I18</f>
        <v>0</v>
      </c>
      <c r="K13" s="973">
        <f>industrie!J18</f>
        <v>4.4000154903503228</v>
      </c>
      <c r="L13" s="973">
        <f>industrie!K18</f>
        <v>0</v>
      </c>
      <c r="M13" s="973">
        <f>industrie!L18</f>
        <v>0</v>
      </c>
      <c r="N13" s="973">
        <f>industrie!M18</f>
        <v>0</v>
      </c>
      <c r="O13" s="973">
        <f>industrie!N18</f>
        <v>162.38234298457576</v>
      </c>
      <c r="P13" s="973">
        <f>industrie!O18</f>
        <v>0</v>
      </c>
      <c r="Q13" s="974">
        <f>industrie!P18</f>
        <v>0</v>
      </c>
      <c r="R13" s="668">
        <f>SUM(C13:Q13)</f>
        <v>4246.6147408788429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28704.193823433892</v>
      </c>
      <c r="D16" s="700">
        <f t="shared" ref="D16:R16" ca="1" si="0">SUM(D9:D15)</f>
        <v>0</v>
      </c>
      <c r="E16" s="700">
        <f t="shared" ca="1" si="0"/>
        <v>35977.773428342523</v>
      </c>
      <c r="F16" s="700">
        <f t="shared" si="0"/>
        <v>1689.6165548279573</v>
      </c>
      <c r="G16" s="700">
        <f t="shared" ca="1" si="0"/>
        <v>33569.757236020458</v>
      </c>
      <c r="H16" s="700">
        <f t="shared" si="0"/>
        <v>0</v>
      </c>
      <c r="I16" s="700">
        <f t="shared" si="0"/>
        <v>0</v>
      </c>
      <c r="J16" s="700">
        <f t="shared" si="0"/>
        <v>0</v>
      </c>
      <c r="K16" s="700">
        <f t="shared" si="0"/>
        <v>154.71107042347523</v>
      </c>
      <c r="L16" s="700">
        <f t="shared" si="0"/>
        <v>0</v>
      </c>
      <c r="M16" s="700">
        <f t="shared" ca="1" si="0"/>
        <v>0</v>
      </c>
      <c r="N16" s="700">
        <f t="shared" si="0"/>
        <v>0</v>
      </c>
      <c r="O16" s="700">
        <f t="shared" ca="1" si="0"/>
        <v>6219.1168275276559</v>
      </c>
      <c r="P16" s="700">
        <f t="shared" si="0"/>
        <v>123.50333333333334</v>
      </c>
      <c r="Q16" s="700">
        <f t="shared" si="0"/>
        <v>572</v>
      </c>
      <c r="R16" s="700">
        <f t="shared" ca="1" si="0"/>
        <v>107010.67227390929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18.534110518363207</v>
      </c>
      <c r="D19" s="973">
        <f>transport!C54</f>
        <v>0</v>
      </c>
      <c r="E19" s="973">
        <f>transport!D54</f>
        <v>0</v>
      </c>
      <c r="F19" s="973">
        <f>transport!E54</f>
        <v>0</v>
      </c>
      <c r="G19" s="973">
        <f>transport!F54</f>
        <v>0</v>
      </c>
      <c r="H19" s="973">
        <f>transport!G54</f>
        <v>1741.0957155437852</v>
      </c>
      <c r="I19" s="973">
        <f>transport!H54</f>
        <v>0</v>
      </c>
      <c r="J19" s="973">
        <f>transport!I54</f>
        <v>0</v>
      </c>
      <c r="K19" s="973">
        <f>transport!J54</f>
        <v>0</v>
      </c>
      <c r="L19" s="973">
        <f>transport!K54</f>
        <v>0</v>
      </c>
      <c r="M19" s="973">
        <f>transport!L54</f>
        <v>0</v>
      </c>
      <c r="N19" s="973">
        <f>transport!M54</f>
        <v>100.26447459037793</v>
      </c>
      <c r="O19" s="973">
        <f>transport!N54</f>
        <v>0</v>
      </c>
      <c r="P19" s="973">
        <f>transport!O54</f>
        <v>0</v>
      </c>
      <c r="Q19" s="974">
        <f>transport!P54</f>
        <v>0</v>
      </c>
      <c r="R19" s="668">
        <f>SUM(C19:Q19)</f>
        <v>1859.8943006525262</v>
      </c>
      <c r="S19" s="67"/>
    </row>
    <row r="20" spans="1:19" s="441" customFormat="1">
      <c r="A20" s="777" t="s">
        <v>301</v>
      </c>
      <c r="B20" s="782"/>
      <c r="C20" s="973">
        <f>transport!B14</f>
        <v>60.142075888390181</v>
      </c>
      <c r="D20" s="973">
        <f>transport!C14</f>
        <v>0</v>
      </c>
      <c r="E20" s="973">
        <f>transport!D14</f>
        <v>116.16089331106743</v>
      </c>
      <c r="F20" s="973">
        <f>transport!E14</f>
        <v>199.06859342811819</v>
      </c>
      <c r="G20" s="973">
        <f>transport!F14</f>
        <v>0</v>
      </c>
      <c r="H20" s="973">
        <f>transport!G14</f>
        <v>69821.84112329912</v>
      </c>
      <c r="I20" s="973">
        <f>transport!H14</f>
        <v>18530.87049146153</v>
      </c>
      <c r="J20" s="973">
        <f>transport!I14</f>
        <v>0</v>
      </c>
      <c r="K20" s="973">
        <f>transport!J14</f>
        <v>0</v>
      </c>
      <c r="L20" s="973">
        <f>transport!K14</f>
        <v>0</v>
      </c>
      <c r="M20" s="973">
        <f>transport!L14</f>
        <v>0</v>
      </c>
      <c r="N20" s="973">
        <f>transport!M14</f>
        <v>4624.932176659594</v>
      </c>
      <c r="O20" s="973">
        <f>transport!N14</f>
        <v>0</v>
      </c>
      <c r="P20" s="973">
        <f>transport!O14</f>
        <v>0</v>
      </c>
      <c r="Q20" s="974">
        <f>transport!P14</f>
        <v>0</v>
      </c>
      <c r="R20" s="668">
        <f>SUM(C20:Q20)</f>
        <v>93353.015354047835</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78.676186406753388</v>
      </c>
      <c r="D22" s="780">
        <f t="shared" ref="D22:R22" si="1">SUM(D18:D21)</f>
        <v>0</v>
      </c>
      <c r="E22" s="780">
        <f t="shared" si="1"/>
        <v>116.16089331106743</v>
      </c>
      <c r="F22" s="780">
        <f t="shared" si="1"/>
        <v>199.06859342811819</v>
      </c>
      <c r="G22" s="780">
        <f t="shared" si="1"/>
        <v>0</v>
      </c>
      <c r="H22" s="780">
        <f t="shared" si="1"/>
        <v>71562.936838842899</v>
      </c>
      <c r="I22" s="780">
        <f t="shared" si="1"/>
        <v>18530.87049146153</v>
      </c>
      <c r="J22" s="780">
        <f t="shared" si="1"/>
        <v>0</v>
      </c>
      <c r="K22" s="780">
        <f t="shared" si="1"/>
        <v>0</v>
      </c>
      <c r="L22" s="780">
        <f t="shared" si="1"/>
        <v>0</v>
      </c>
      <c r="M22" s="780">
        <f t="shared" si="1"/>
        <v>0</v>
      </c>
      <c r="N22" s="780">
        <f t="shared" si="1"/>
        <v>4725.1966512499721</v>
      </c>
      <c r="O22" s="780">
        <f t="shared" si="1"/>
        <v>0</v>
      </c>
      <c r="P22" s="780">
        <f t="shared" si="1"/>
        <v>0</v>
      </c>
      <c r="Q22" s="780">
        <f t="shared" si="1"/>
        <v>0</v>
      </c>
      <c r="R22" s="780">
        <f t="shared" si="1"/>
        <v>95212.909654700357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840.78895451889332</v>
      </c>
      <c r="D24" s="973">
        <f>+landbouw!C8</f>
        <v>62.357142857142847</v>
      </c>
      <c r="E24" s="973">
        <f>+landbouw!D8</f>
        <v>2693.9388939781511</v>
      </c>
      <c r="F24" s="973">
        <f>+landbouw!E8</f>
        <v>24.713355439187385</v>
      </c>
      <c r="G24" s="973">
        <f>+landbouw!F8</f>
        <v>3502.6813506753242</v>
      </c>
      <c r="H24" s="973">
        <f>+landbouw!G8</f>
        <v>0</v>
      </c>
      <c r="I24" s="973">
        <f>+landbouw!H8</f>
        <v>0</v>
      </c>
      <c r="J24" s="973">
        <f>+landbouw!I8</f>
        <v>0</v>
      </c>
      <c r="K24" s="973">
        <f>+landbouw!J8</f>
        <v>121.81226336030264</v>
      </c>
      <c r="L24" s="973">
        <f>+landbouw!K8</f>
        <v>0</v>
      </c>
      <c r="M24" s="973">
        <f>+landbouw!L8</f>
        <v>0</v>
      </c>
      <c r="N24" s="973">
        <f>+landbouw!M8</f>
        <v>0</v>
      </c>
      <c r="O24" s="973">
        <f>+landbouw!N8</f>
        <v>0</v>
      </c>
      <c r="P24" s="973">
        <f>+landbouw!O8</f>
        <v>0</v>
      </c>
      <c r="Q24" s="974">
        <f>+landbouw!P8</f>
        <v>0</v>
      </c>
      <c r="R24" s="668">
        <f>SUM(C24:Q24)</f>
        <v>7246.2919608290022</v>
      </c>
      <c r="S24" s="67"/>
    </row>
    <row r="25" spans="1:19" s="441" customFormat="1" ht="15" thickBot="1">
      <c r="A25" s="799" t="s">
        <v>808</v>
      </c>
      <c r="B25" s="976"/>
      <c r="C25" s="977">
        <f>IF(Onbekend_ele_kWh="---",0,Onbekend_ele_kWh)/1000+IF(REST_rest_ele_kWh="---",0,REST_rest_ele_kWh)/1000</f>
        <v>717.04060844082198</v>
      </c>
      <c r="D25" s="977"/>
      <c r="E25" s="977">
        <f>IF(onbekend_gas_kWh="---",0,onbekend_gas_kWh)/1000+IF(REST_rest_gas_kWh="---",0,REST_rest_gas_kWh)/1000</f>
        <v>1331.17826073996</v>
      </c>
      <c r="F25" s="977"/>
      <c r="G25" s="977"/>
      <c r="H25" s="977"/>
      <c r="I25" s="977"/>
      <c r="J25" s="977"/>
      <c r="K25" s="977"/>
      <c r="L25" s="977"/>
      <c r="M25" s="977"/>
      <c r="N25" s="977"/>
      <c r="O25" s="977"/>
      <c r="P25" s="977"/>
      <c r="Q25" s="978"/>
      <c r="R25" s="668">
        <f>SUM(C25:Q25)</f>
        <v>2048.2188691807819</v>
      </c>
      <c r="S25" s="67"/>
    </row>
    <row r="26" spans="1:19" s="441" customFormat="1" ht="15.75" thickBot="1">
      <c r="A26" s="673" t="s">
        <v>809</v>
      </c>
      <c r="B26" s="785"/>
      <c r="C26" s="780">
        <f>SUM(C24:C25)</f>
        <v>1557.8295629597153</v>
      </c>
      <c r="D26" s="780">
        <f t="shared" ref="D26:R26" si="2">SUM(D24:D25)</f>
        <v>62.357142857142847</v>
      </c>
      <c r="E26" s="780">
        <f t="shared" si="2"/>
        <v>4025.1171547181111</v>
      </c>
      <c r="F26" s="780">
        <f t="shared" si="2"/>
        <v>24.713355439187385</v>
      </c>
      <c r="G26" s="780">
        <f t="shared" si="2"/>
        <v>3502.6813506753242</v>
      </c>
      <c r="H26" s="780">
        <f t="shared" si="2"/>
        <v>0</v>
      </c>
      <c r="I26" s="780">
        <f t="shared" si="2"/>
        <v>0</v>
      </c>
      <c r="J26" s="780">
        <f t="shared" si="2"/>
        <v>0</v>
      </c>
      <c r="K26" s="780">
        <f t="shared" si="2"/>
        <v>121.81226336030264</v>
      </c>
      <c r="L26" s="780">
        <f t="shared" si="2"/>
        <v>0</v>
      </c>
      <c r="M26" s="780">
        <f t="shared" si="2"/>
        <v>0</v>
      </c>
      <c r="N26" s="780">
        <f t="shared" si="2"/>
        <v>0</v>
      </c>
      <c r="O26" s="780">
        <f t="shared" si="2"/>
        <v>0</v>
      </c>
      <c r="P26" s="780">
        <f t="shared" si="2"/>
        <v>0</v>
      </c>
      <c r="Q26" s="780">
        <f t="shared" si="2"/>
        <v>0</v>
      </c>
      <c r="R26" s="780">
        <f t="shared" si="2"/>
        <v>9294.5108300097836</v>
      </c>
      <c r="S26" s="67"/>
    </row>
    <row r="27" spans="1:19" s="441" customFormat="1" ht="17.25" thickTop="1" thickBot="1">
      <c r="A27" s="674" t="s">
        <v>115</v>
      </c>
      <c r="B27" s="773"/>
      <c r="C27" s="675">
        <f ca="1">C22+C16+C26</f>
        <v>30340.69957280036</v>
      </c>
      <c r="D27" s="675">
        <f t="shared" ref="D27:R27" ca="1" si="3">D22+D16+D26</f>
        <v>62.357142857142847</v>
      </c>
      <c r="E27" s="675">
        <f t="shared" ca="1" si="3"/>
        <v>40119.051476371707</v>
      </c>
      <c r="F27" s="675">
        <f t="shared" si="3"/>
        <v>1913.3985036952629</v>
      </c>
      <c r="G27" s="675">
        <f t="shared" ca="1" si="3"/>
        <v>37072.438586695782</v>
      </c>
      <c r="H27" s="675">
        <f t="shared" si="3"/>
        <v>71562.936838842899</v>
      </c>
      <c r="I27" s="675">
        <f t="shared" si="3"/>
        <v>18530.87049146153</v>
      </c>
      <c r="J27" s="675">
        <f t="shared" si="3"/>
        <v>0</v>
      </c>
      <c r="K27" s="675">
        <f t="shared" si="3"/>
        <v>276.52333378377784</v>
      </c>
      <c r="L27" s="675">
        <f t="shared" si="3"/>
        <v>0</v>
      </c>
      <c r="M27" s="675">
        <f t="shared" ca="1" si="3"/>
        <v>0</v>
      </c>
      <c r="N27" s="675">
        <f t="shared" si="3"/>
        <v>4725.1966512499721</v>
      </c>
      <c r="O27" s="675">
        <f t="shared" ca="1" si="3"/>
        <v>6219.1168275276559</v>
      </c>
      <c r="P27" s="675">
        <f t="shared" si="3"/>
        <v>123.50333333333334</v>
      </c>
      <c r="Q27" s="675">
        <f t="shared" si="3"/>
        <v>572</v>
      </c>
      <c r="R27" s="675">
        <f t="shared" ca="1" si="3"/>
        <v>211518.09275861943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1780.2694824875909</v>
      </c>
      <c r="D40" s="973">
        <f ca="1">tertiair!C20</f>
        <v>0</v>
      </c>
      <c r="E40" s="973">
        <f ca="1">tertiair!D20</f>
        <v>1941.7325670078362</v>
      </c>
      <c r="F40" s="973">
        <f>tertiair!E20</f>
        <v>28.613485731904678</v>
      </c>
      <c r="G40" s="973">
        <f ca="1">tertiair!F20</f>
        <v>364.24742487778673</v>
      </c>
      <c r="H40" s="973">
        <f>tertiair!G20</f>
        <v>0</v>
      </c>
      <c r="I40" s="973">
        <f>tertiair!H20</f>
        <v>0</v>
      </c>
      <c r="J40" s="973">
        <f>tertiair!I20</f>
        <v>0</v>
      </c>
      <c r="K40" s="973">
        <f>tertiair!J20</f>
        <v>4.4835585148500319E-3</v>
      </c>
      <c r="L40" s="973">
        <f>tertiair!K20</f>
        <v>0</v>
      </c>
      <c r="M40" s="973">
        <f ca="1">tertiair!L20</f>
        <v>0</v>
      </c>
      <c r="N40" s="973">
        <f>tertiair!M20</f>
        <v>0</v>
      </c>
      <c r="O40" s="973">
        <f ca="1">tertiair!N20</f>
        <v>0</v>
      </c>
      <c r="P40" s="973">
        <f>tertiair!O20</f>
        <v>0</v>
      </c>
      <c r="Q40" s="742">
        <f>tertiair!P20</f>
        <v>0</v>
      </c>
      <c r="R40" s="818">
        <f t="shared" ca="1" si="4"/>
        <v>4114.8674436636338</v>
      </c>
    </row>
    <row r="41" spans="1:18">
      <c r="A41" s="790" t="s">
        <v>219</v>
      </c>
      <c r="B41" s="797"/>
      <c r="C41" s="973">
        <f ca="1">huishoudens!B12</f>
        <v>3717.7543420161282</v>
      </c>
      <c r="D41" s="973">
        <f ca="1">huishoudens!C12</f>
        <v>0</v>
      </c>
      <c r="E41" s="973">
        <f>huishoudens!D12</f>
        <v>5210.7927059682261</v>
      </c>
      <c r="F41" s="973">
        <f>huishoudens!E12</f>
        <v>279.85618656770447</v>
      </c>
      <c r="G41" s="973">
        <f>huishoudens!F12</f>
        <v>8339.6936077273276</v>
      </c>
      <c r="H41" s="973">
        <f>huishoudens!G12</f>
        <v>0</v>
      </c>
      <c r="I41" s="973">
        <f>huishoudens!H12</f>
        <v>0</v>
      </c>
      <c r="J41" s="973">
        <f>huishoudens!I12</f>
        <v>0</v>
      </c>
      <c r="K41" s="973">
        <f>huishoudens!J12</f>
        <v>53.205629887811369</v>
      </c>
      <c r="L41" s="973">
        <f>huishoudens!K12</f>
        <v>0</v>
      </c>
      <c r="M41" s="973">
        <f>huishoudens!L12</f>
        <v>0</v>
      </c>
      <c r="N41" s="973">
        <f>huishoudens!M12</f>
        <v>0</v>
      </c>
      <c r="O41" s="973">
        <f>huishoudens!N12</f>
        <v>0</v>
      </c>
      <c r="P41" s="973">
        <f>huishoudens!O12</f>
        <v>0</v>
      </c>
      <c r="Q41" s="742">
        <f>huishoudens!P12</f>
        <v>0</v>
      </c>
      <c r="R41" s="818">
        <f t="shared" ca="1" si="4"/>
        <v>17601.302472167197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458.42459786572243</v>
      </c>
      <c r="D43" s="973">
        <f ca="1">industrie!C22</f>
        <v>0</v>
      </c>
      <c r="E43" s="973">
        <f>industrie!D22</f>
        <v>114.98495954912707</v>
      </c>
      <c r="F43" s="973">
        <f>industrie!E22</f>
        <v>75.073285646337197</v>
      </c>
      <c r="G43" s="973">
        <f>industrie!F22</f>
        <v>259.18414941234829</v>
      </c>
      <c r="H43" s="973">
        <f>industrie!G22</f>
        <v>0</v>
      </c>
      <c r="I43" s="973">
        <f>industrie!H22</f>
        <v>0</v>
      </c>
      <c r="J43" s="973">
        <f>industrie!I22</f>
        <v>0</v>
      </c>
      <c r="K43" s="973">
        <f>industrie!J22</f>
        <v>1.5576054835840143</v>
      </c>
      <c r="L43" s="973">
        <f>industrie!K22</f>
        <v>0</v>
      </c>
      <c r="M43" s="973">
        <f>industrie!L22</f>
        <v>0</v>
      </c>
      <c r="N43" s="973">
        <f>industrie!M22</f>
        <v>0</v>
      </c>
      <c r="O43" s="973">
        <f>industrie!N22</f>
        <v>0</v>
      </c>
      <c r="P43" s="973">
        <f>industrie!O22</f>
        <v>0</v>
      </c>
      <c r="Q43" s="742">
        <f>industrie!P22</f>
        <v>0</v>
      </c>
      <c r="R43" s="817">
        <f t="shared" ca="1" si="4"/>
        <v>909.22459795711893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5956.4484223694417</v>
      </c>
      <c r="D46" s="700">
        <f t="shared" ref="D46:Q46" ca="1" si="5">SUM(D39:D45)</f>
        <v>0</v>
      </c>
      <c r="E46" s="700">
        <f t="shared" ca="1" si="5"/>
        <v>7267.5102325251892</v>
      </c>
      <c r="F46" s="700">
        <f t="shared" si="5"/>
        <v>383.54295794594634</v>
      </c>
      <c r="G46" s="700">
        <f t="shared" ca="1" si="5"/>
        <v>8963.1251820174639</v>
      </c>
      <c r="H46" s="700">
        <f t="shared" si="5"/>
        <v>0</v>
      </c>
      <c r="I46" s="700">
        <f t="shared" si="5"/>
        <v>0</v>
      </c>
      <c r="J46" s="700">
        <f t="shared" si="5"/>
        <v>0</v>
      </c>
      <c r="K46" s="700">
        <f t="shared" si="5"/>
        <v>54.767718929910231</v>
      </c>
      <c r="L46" s="700">
        <f t="shared" si="5"/>
        <v>0</v>
      </c>
      <c r="M46" s="700">
        <f t="shared" ca="1" si="5"/>
        <v>0</v>
      </c>
      <c r="N46" s="700">
        <f t="shared" si="5"/>
        <v>0</v>
      </c>
      <c r="O46" s="700">
        <f t="shared" ca="1" si="5"/>
        <v>0</v>
      </c>
      <c r="P46" s="700">
        <f t="shared" si="5"/>
        <v>0</v>
      </c>
      <c r="Q46" s="700">
        <f t="shared" si="5"/>
        <v>0</v>
      </c>
      <c r="R46" s="700">
        <f ca="1">SUM(R39:R45)</f>
        <v>22625.394513787953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3.8460398517445107</v>
      </c>
      <c r="D49" s="973">
        <f ca="1">transport!C58</f>
        <v>0</v>
      </c>
      <c r="E49" s="973">
        <f>transport!D58</f>
        <v>0</v>
      </c>
      <c r="F49" s="973">
        <f>transport!E58</f>
        <v>0</v>
      </c>
      <c r="G49" s="973">
        <f>transport!F58</f>
        <v>0</v>
      </c>
      <c r="H49" s="973">
        <f>transport!G58</f>
        <v>464.87255605019067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468.7185959019352</v>
      </c>
    </row>
    <row r="50" spans="1:18">
      <c r="A50" s="793" t="s">
        <v>301</v>
      </c>
      <c r="B50" s="803"/>
      <c r="C50" s="671">
        <f ca="1">transport!B18</f>
        <v>12.480168411870393</v>
      </c>
      <c r="D50" s="671">
        <f>transport!C18</f>
        <v>0</v>
      </c>
      <c r="E50" s="671">
        <f>transport!D18</f>
        <v>23.464500448835622</v>
      </c>
      <c r="F50" s="671">
        <f>transport!E18</f>
        <v>45.18857070818283</v>
      </c>
      <c r="G50" s="671">
        <f>transport!F18</f>
        <v>0</v>
      </c>
      <c r="H50" s="671">
        <f>transport!G18</f>
        <v>18642.431579920867</v>
      </c>
      <c r="I50" s="671">
        <f>transport!H18</f>
        <v>4614.1867523739211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23337.751571863675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16.326208263614902</v>
      </c>
      <c r="D52" s="700">
        <f t="shared" ref="D52:Q52" ca="1" si="6">SUM(D48:D51)</f>
        <v>0</v>
      </c>
      <c r="E52" s="700">
        <f t="shared" si="6"/>
        <v>23.464500448835622</v>
      </c>
      <c r="F52" s="700">
        <f t="shared" si="6"/>
        <v>45.18857070818283</v>
      </c>
      <c r="G52" s="700">
        <f t="shared" si="6"/>
        <v>0</v>
      </c>
      <c r="H52" s="700">
        <f t="shared" si="6"/>
        <v>19107.304135971059</v>
      </c>
      <c r="I52" s="700">
        <f t="shared" si="6"/>
        <v>4614.1867523739211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23806.470167765608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174.47332165103779</v>
      </c>
      <c r="D54" s="671">
        <f ca="1">+landbouw!C12</f>
        <v>0</v>
      </c>
      <c r="E54" s="671">
        <f>+landbouw!D12</f>
        <v>544.1756565835866</v>
      </c>
      <c r="F54" s="671">
        <f>+landbouw!E12</f>
        <v>5.6099316846955363</v>
      </c>
      <c r="G54" s="671">
        <f>+landbouw!F12</f>
        <v>935.21592063031164</v>
      </c>
      <c r="H54" s="671">
        <f>+landbouw!G12</f>
        <v>0</v>
      </c>
      <c r="I54" s="671">
        <f>+landbouw!H12</f>
        <v>0</v>
      </c>
      <c r="J54" s="671">
        <f>+landbouw!I12</f>
        <v>0</v>
      </c>
      <c r="K54" s="671">
        <f>+landbouw!J12</f>
        <v>43.121541229547134</v>
      </c>
      <c r="L54" s="671">
        <f>+landbouw!K12</f>
        <v>0</v>
      </c>
      <c r="M54" s="671">
        <f>+landbouw!L12</f>
        <v>0</v>
      </c>
      <c r="N54" s="671">
        <f>+landbouw!M12</f>
        <v>0</v>
      </c>
      <c r="O54" s="671">
        <f>+landbouw!N12</f>
        <v>0</v>
      </c>
      <c r="P54" s="671">
        <f>+landbouw!O12</f>
        <v>0</v>
      </c>
      <c r="Q54" s="672">
        <f>+landbouw!P12</f>
        <v>0</v>
      </c>
      <c r="R54" s="699">
        <f ca="1">SUM(C54:Q54)</f>
        <v>1702.5963717791785</v>
      </c>
    </row>
    <row r="55" spans="1:18" ht="15" thickBot="1">
      <c r="A55" s="793" t="s">
        <v>808</v>
      </c>
      <c r="B55" s="803"/>
      <c r="C55" s="671">
        <f ca="1">C25*'EF ele_warmte'!B12</f>
        <v>148.79412490015076</v>
      </c>
      <c r="D55" s="671"/>
      <c r="E55" s="671">
        <f>E25*EF_CO2_aardgas</f>
        <v>268.89800866947195</v>
      </c>
      <c r="F55" s="671"/>
      <c r="G55" s="671"/>
      <c r="H55" s="671"/>
      <c r="I55" s="671"/>
      <c r="J55" s="671"/>
      <c r="K55" s="671"/>
      <c r="L55" s="671"/>
      <c r="M55" s="671"/>
      <c r="N55" s="671"/>
      <c r="O55" s="671"/>
      <c r="P55" s="671"/>
      <c r="Q55" s="672"/>
      <c r="R55" s="699">
        <f ca="1">SUM(C55:Q55)</f>
        <v>417.69213356962268</v>
      </c>
    </row>
    <row r="56" spans="1:18" ht="15.75" thickBot="1">
      <c r="A56" s="791" t="s">
        <v>809</v>
      </c>
      <c r="B56" s="804"/>
      <c r="C56" s="700">
        <f ca="1">SUM(C54:C55)</f>
        <v>323.26744655118853</v>
      </c>
      <c r="D56" s="700">
        <f t="shared" ref="D56:Q56" ca="1" si="7">SUM(D54:D55)</f>
        <v>0</v>
      </c>
      <c r="E56" s="700">
        <f t="shared" si="7"/>
        <v>813.07366525305861</v>
      </c>
      <c r="F56" s="700">
        <f t="shared" si="7"/>
        <v>5.6099316846955363</v>
      </c>
      <c r="G56" s="700">
        <f t="shared" si="7"/>
        <v>935.21592063031164</v>
      </c>
      <c r="H56" s="700">
        <f t="shared" si="7"/>
        <v>0</v>
      </c>
      <c r="I56" s="700">
        <f t="shared" si="7"/>
        <v>0</v>
      </c>
      <c r="J56" s="700">
        <f t="shared" si="7"/>
        <v>0</v>
      </c>
      <c r="K56" s="700">
        <f t="shared" si="7"/>
        <v>43.121541229547134</v>
      </c>
      <c r="L56" s="700">
        <f t="shared" si="7"/>
        <v>0</v>
      </c>
      <c r="M56" s="700">
        <f t="shared" si="7"/>
        <v>0</v>
      </c>
      <c r="N56" s="700">
        <f t="shared" si="7"/>
        <v>0</v>
      </c>
      <c r="O56" s="700">
        <f t="shared" si="7"/>
        <v>0</v>
      </c>
      <c r="P56" s="700">
        <f t="shared" si="7"/>
        <v>0</v>
      </c>
      <c r="Q56" s="701">
        <f t="shared" si="7"/>
        <v>0</v>
      </c>
      <c r="R56" s="702">
        <f ca="1">SUM(R54:R55)</f>
        <v>2120.2885053488012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6296.0420771842446</v>
      </c>
      <c r="D61" s="708">
        <f t="shared" ref="D61:Q61" ca="1" si="8">D46+D52+D56</f>
        <v>0</v>
      </c>
      <c r="E61" s="708">
        <f t="shared" ca="1" si="8"/>
        <v>8104.0483982270835</v>
      </c>
      <c r="F61" s="708">
        <f t="shared" si="8"/>
        <v>434.34146033882473</v>
      </c>
      <c r="G61" s="708">
        <f t="shared" ca="1" si="8"/>
        <v>9898.3411026477752</v>
      </c>
      <c r="H61" s="708">
        <f t="shared" si="8"/>
        <v>19107.304135971059</v>
      </c>
      <c r="I61" s="708">
        <f t="shared" si="8"/>
        <v>4614.1867523739211</v>
      </c>
      <c r="J61" s="708">
        <f t="shared" si="8"/>
        <v>0</v>
      </c>
      <c r="K61" s="708">
        <f t="shared" si="8"/>
        <v>97.889260159457365</v>
      </c>
      <c r="L61" s="708">
        <f t="shared" si="8"/>
        <v>0</v>
      </c>
      <c r="M61" s="708">
        <f t="shared" ca="1" si="8"/>
        <v>0</v>
      </c>
      <c r="N61" s="708">
        <f t="shared" si="8"/>
        <v>0</v>
      </c>
      <c r="O61" s="708">
        <f t="shared" ca="1" si="8"/>
        <v>0</v>
      </c>
      <c r="P61" s="708">
        <f t="shared" si="8"/>
        <v>0</v>
      </c>
      <c r="Q61" s="708">
        <f t="shared" si="8"/>
        <v>0</v>
      </c>
      <c r="R61" s="708">
        <f ca="1">R46+R52+R56</f>
        <v>48552.15318690236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0.20751143400887437</v>
      </c>
      <c r="D63" s="749">
        <f t="shared" ca="1" si="9"/>
        <v>0</v>
      </c>
      <c r="E63" s="984">
        <f t="shared" ca="1" si="9"/>
        <v>0.20199999999999996</v>
      </c>
      <c r="F63" s="749">
        <f t="shared" si="9"/>
        <v>0.22700000000000004</v>
      </c>
      <c r="G63" s="749">
        <f t="shared" ca="1" si="9"/>
        <v>0.26700000000000002</v>
      </c>
      <c r="H63" s="749">
        <f t="shared" si="9"/>
        <v>0.26700000000000007</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1808.1713954960831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43.649999999999991</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1851.8213954960831</v>
      </c>
      <c r="C78" s="723">
        <f>SUM(C72:C77)</f>
        <v>0</v>
      </c>
      <c r="D78" s="724">
        <f t="shared" ref="D78:H78" si="10">SUM(D76:D77)</f>
        <v>0</v>
      </c>
      <c r="E78" s="724">
        <f t="shared" si="10"/>
        <v>0</v>
      </c>
      <c r="F78" s="724">
        <f t="shared" si="10"/>
        <v>0</v>
      </c>
      <c r="G78" s="724">
        <f t="shared" si="10"/>
        <v>0</v>
      </c>
      <c r="H78" s="724">
        <f t="shared" si="10"/>
        <v>0</v>
      </c>
      <c r="I78" s="724">
        <f>SUM(I76:I77)</f>
        <v>0</v>
      </c>
      <c r="J78" s="724">
        <f>SUM(J76:J77)</f>
        <v>51.35294117647058</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62.357142857142847</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73.361344537815114</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62.357142857142847</v>
      </c>
      <c r="C90" s="723">
        <f>SUM(C87:C89)</f>
        <v>0</v>
      </c>
      <c r="D90" s="723">
        <f t="shared" ref="D90:H90" si="12">SUM(D87:D89)</f>
        <v>0</v>
      </c>
      <c r="E90" s="723">
        <f t="shared" si="12"/>
        <v>0</v>
      </c>
      <c r="F90" s="723">
        <f t="shared" si="12"/>
        <v>0</v>
      </c>
      <c r="G90" s="723">
        <f t="shared" si="12"/>
        <v>0</v>
      </c>
      <c r="H90" s="723">
        <f t="shared" si="12"/>
        <v>0</v>
      </c>
      <c r="I90" s="723">
        <f>SUM(I87:I89)</f>
        <v>0</v>
      </c>
      <c r="J90" s="723">
        <f>SUM(J87:J89)</f>
        <v>73.361344537815114</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17915.901163581839</v>
      </c>
      <c r="C4" s="445">
        <f>huishoudens!C8</f>
        <v>0</v>
      </c>
      <c r="D4" s="445">
        <f>huishoudens!D8</f>
        <v>25796.003494892208</v>
      </c>
      <c r="E4" s="445">
        <f>huishoudens!E8</f>
        <v>1232.8466368621341</v>
      </c>
      <c r="F4" s="445">
        <f>huishoudens!F8</f>
        <v>31234.807519578004</v>
      </c>
      <c r="G4" s="445">
        <f>huishoudens!G8</f>
        <v>0</v>
      </c>
      <c r="H4" s="445">
        <f>huishoudens!H8</f>
        <v>0</v>
      </c>
      <c r="I4" s="445">
        <f>huishoudens!I8</f>
        <v>0</v>
      </c>
      <c r="J4" s="445">
        <f>huishoudens!J8</f>
        <v>150.29838951359145</v>
      </c>
      <c r="K4" s="445">
        <f>huishoudens!K8</f>
        <v>0</v>
      </c>
      <c r="L4" s="445">
        <f>huishoudens!L8</f>
        <v>0</v>
      </c>
      <c r="M4" s="445">
        <f>huishoudens!M8</f>
        <v>0</v>
      </c>
      <c r="N4" s="445">
        <f>huishoudens!N8</f>
        <v>5539.9651715903965</v>
      </c>
      <c r="O4" s="445">
        <f>huishoudens!O8</f>
        <v>120.37666666666668</v>
      </c>
      <c r="P4" s="446">
        <f>huishoudens!P8</f>
        <v>572</v>
      </c>
      <c r="Q4" s="447">
        <f>SUM(B4:P4)</f>
        <v>82562.19904268485</v>
      </c>
    </row>
    <row r="5" spans="1:17">
      <c r="A5" s="444" t="s">
        <v>155</v>
      </c>
      <c r="B5" s="445">
        <f ca="1">tertiair!B16</f>
        <v>7958.2912218486454</v>
      </c>
      <c r="C5" s="445">
        <f ca="1">tertiair!C16</f>
        <v>0</v>
      </c>
      <c r="D5" s="445">
        <f ca="1">tertiair!D16</f>
        <v>9612.5374604348326</v>
      </c>
      <c r="E5" s="445">
        <f>tertiair!E16</f>
        <v>126.05059793790606</v>
      </c>
      <c r="F5" s="445">
        <f ca="1">tertiair!F16</f>
        <v>1364.2225650853434</v>
      </c>
      <c r="G5" s="445">
        <f>tertiair!G16</f>
        <v>0</v>
      </c>
      <c r="H5" s="445">
        <f>tertiair!H16</f>
        <v>0</v>
      </c>
      <c r="I5" s="445">
        <f>tertiair!I16</f>
        <v>0</v>
      </c>
      <c r="J5" s="445">
        <f>tertiair!J16</f>
        <v>1.2665419533474668E-2</v>
      </c>
      <c r="K5" s="445">
        <f>tertiair!K16</f>
        <v>0</v>
      </c>
      <c r="L5" s="445">
        <f ca="1">tertiair!L16</f>
        <v>0</v>
      </c>
      <c r="M5" s="445">
        <f>tertiair!M16</f>
        <v>0</v>
      </c>
      <c r="N5" s="445">
        <f ca="1">tertiair!N16</f>
        <v>516.76931295268298</v>
      </c>
      <c r="O5" s="445">
        <f>tertiair!O16</f>
        <v>3.1266666666666669</v>
      </c>
      <c r="P5" s="446">
        <f>tertiair!P16</f>
        <v>0</v>
      </c>
      <c r="Q5" s="444">
        <f t="shared" ref="Q5:Q14" ca="1" si="0">SUM(B5:P5)</f>
        <v>19581.010490345609</v>
      </c>
    </row>
    <row r="6" spans="1:17">
      <c r="A6" s="444" t="s">
        <v>193</v>
      </c>
      <c r="B6" s="445">
        <f>'openbare verlichting'!B8</f>
        <v>620.84799999999996</v>
      </c>
      <c r="C6" s="445"/>
      <c r="D6" s="445"/>
      <c r="E6" s="445"/>
      <c r="F6" s="445"/>
      <c r="G6" s="445"/>
      <c r="H6" s="445"/>
      <c r="I6" s="445"/>
      <c r="J6" s="445"/>
      <c r="K6" s="445"/>
      <c r="L6" s="445"/>
      <c r="M6" s="445"/>
      <c r="N6" s="445"/>
      <c r="O6" s="445"/>
      <c r="P6" s="446"/>
      <c r="Q6" s="444">
        <f t="shared" si="0"/>
        <v>620.84799999999996</v>
      </c>
    </row>
    <row r="7" spans="1:17">
      <c r="A7" s="444" t="s">
        <v>111</v>
      </c>
      <c r="B7" s="445">
        <f>landbouw!B8</f>
        <v>840.78895451889332</v>
      </c>
      <c r="C7" s="445">
        <f>landbouw!C8</f>
        <v>62.357142857142847</v>
      </c>
      <c r="D7" s="445">
        <f>landbouw!D8</f>
        <v>2693.9388939781511</v>
      </c>
      <c r="E7" s="445">
        <f>landbouw!E8</f>
        <v>24.713355439187385</v>
      </c>
      <c r="F7" s="445">
        <f>landbouw!F8</f>
        <v>3502.6813506753242</v>
      </c>
      <c r="G7" s="445">
        <f>landbouw!G8</f>
        <v>0</v>
      </c>
      <c r="H7" s="445">
        <f>landbouw!H8</f>
        <v>0</v>
      </c>
      <c r="I7" s="445">
        <f>landbouw!I8</f>
        <v>0</v>
      </c>
      <c r="J7" s="445">
        <f>landbouw!J8</f>
        <v>121.81226336030264</v>
      </c>
      <c r="K7" s="445">
        <f>landbouw!K8</f>
        <v>0</v>
      </c>
      <c r="L7" s="445">
        <f>landbouw!L8</f>
        <v>0</v>
      </c>
      <c r="M7" s="445">
        <f>landbouw!M8</f>
        <v>0</v>
      </c>
      <c r="N7" s="445">
        <f>landbouw!N8</f>
        <v>0</v>
      </c>
      <c r="O7" s="445">
        <f>landbouw!O8</f>
        <v>0</v>
      </c>
      <c r="P7" s="446">
        <f>landbouw!P8</f>
        <v>0</v>
      </c>
      <c r="Q7" s="444">
        <f t="shared" si="0"/>
        <v>7246.2919608290022</v>
      </c>
    </row>
    <row r="8" spans="1:17">
      <c r="A8" s="444" t="s">
        <v>627</v>
      </c>
      <c r="B8" s="445">
        <f>industrie!B18</f>
        <v>2209.1534380034095</v>
      </c>
      <c r="C8" s="445">
        <f>industrie!C18</f>
        <v>0</v>
      </c>
      <c r="D8" s="445">
        <f>industrie!D18</f>
        <v>569.23247301548054</v>
      </c>
      <c r="E8" s="445">
        <f>industrie!E18</f>
        <v>330.71932002791715</v>
      </c>
      <c r="F8" s="445">
        <f>industrie!F18</f>
        <v>970.72715135710973</v>
      </c>
      <c r="G8" s="445">
        <f>industrie!G18</f>
        <v>0</v>
      </c>
      <c r="H8" s="445">
        <f>industrie!H18</f>
        <v>0</v>
      </c>
      <c r="I8" s="445">
        <f>industrie!I18</f>
        <v>0</v>
      </c>
      <c r="J8" s="445">
        <f>industrie!J18</f>
        <v>4.4000154903503228</v>
      </c>
      <c r="K8" s="445">
        <f>industrie!K18</f>
        <v>0</v>
      </c>
      <c r="L8" s="445">
        <f>industrie!L18</f>
        <v>0</v>
      </c>
      <c r="M8" s="445">
        <f>industrie!M18</f>
        <v>0</v>
      </c>
      <c r="N8" s="445">
        <f>industrie!N18</f>
        <v>162.38234298457576</v>
      </c>
      <c r="O8" s="445">
        <f>industrie!O18</f>
        <v>0</v>
      </c>
      <c r="P8" s="446">
        <f>industrie!P18</f>
        <v>0</v>
      </c>
      <c r="Q8" s="444">
        <f t="shared" si="0"/>
        <v>4246.6147408788429</v>
      </c>
    </row>
    <row r="9" spans="1:17" s="450" customFormat="1">
      <c r="A9" s="448" t="s">
        <v>553</v>
      </c>
      <c r="B9" s="449">
        <f>transport!B14</f>
        <v>60.142075888390181</v>
      </c>
      <c r="C9" s="449">
        <f>transport!C14</f>
        <v>0</v>
      </c>
      <c r="D9" s="449">
        <f>transport!D14</f>
        <v>116.16089331106743</v>
      </c>
      <c r="E9" s="449">
        <f>transport!E14</f>
        <v>199.06859342811819</v>
      </c>
      <c r="F9" s="449">
        <f>transport!F14</f>
        <v>0</v>
      </c>
      <c r="G9" s="449">
        <f>transport!G14</f>
        <v>69821.84112329912</v>
      </c>
      <c r="H9" s="449">
        <f>transport!H14</f>
        <v>18530.87049146153</v>
      </c>
      <c r="I9" s="449">
        <f>transport!I14</f>
        <v>0</v>
      </c>
      <c r="J9" s="449">
        <f>transport!J14</f>
        <v>0</v>
      </c>
      <c r="K9" s="449">
        <f>transport!K14</f>
        <v>0</v>
      </c>
      <c r="L9" s="449">
        <f>transport!L14</f>
        <v>0</v>
      </c>
      <c r="M9" s="449">
        <f>transport!M14</f>
        <v>4624.932176659594</v>
      </c>
      <c r="N9" s="449">
        <f>transport!N14</f>
        <v>0</v>
      </c>
      <c r="O9" s="449">
        <f>transport!O14</f>
        <v>0</v>
      </c>
      <c r="P9" s="449">
        <f>transport!P14</f>
        <v>0</v>
      </c>
      <c r="Q9" s="448">
        <f>SUM(B9:P9)</f>
        <v>93353.015354047835</v>
      </c>
    </row>
    <row r="10" spans="1:17">
      <c r="A10" s="444" t="s">
        <v>543</v>
      </c>
      <c r="B10" s="445">
        <f>transport!B54</f>
        <v>18.534110518363207</v>
      </c>
      <c r="C10" s="445">
        <f>transport!C54</f>
        <v>0</v>
      </c>
      <c r="D10" s="445">
        <f>transport!D54</f>
        <v>0</v>
      </c>
      <c r="E10" s="445">
        <f>transport!E54</f>
        <v>0</v>
      </c>
      <c r="F10" s="445">
        <f>transport!F54</f>
        <v>0</v>
      </c>
      <c r="G10" s="445">
        <f>transport!G54</f>
        <v>1741.0957155437852</v>
      </c>
      <c r="H10" s="445">
        <f>transport!H54</f>
        <v>0</v>
      </c>
      <c r="I10" s="445">
        <f>transport!I54</f>
        <v>0</v>
      </c>
      <c r="J10" s="445">
        <f>transport!J54</f>
        <v>0</v>
      </c>
      <c r="K10" s="445">
        <f>transport!K54</f>
        <v>0</v>
      </c>
      <c r="L10" s="445">
        <f>transport!L54</f>
        <v>0</v>
      </c>
      <c r="M10" s="445">
        <f>transport!M54</f>
        <v>100.26447459037793</v>
      </c>
      <c r="N10" s="445">
        <f>transport!N54</f>
        <v>0</v>
      </c>
      <c r="O10" s="445">
        <f>transport!O54</f>
        <v>0</v>
      </c>
      <c r="P10" s="446">
        <f>transport!P54</f>
        <v>0</v>
      </c>
      <c r="Q10" s="444">
        <f t="shared" si="0"/>
        <v>1859.8943006525262</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717.04060844082198</v>
      </c>
      <c r="C14" s="452"/>
      <c r="D14" s="452">
        <f>'SEAP template'!E25</f>
        <v>1331.17826073996</v>
      </c>
      <c r="E14" s="452"/>
      <c r="F14" s="452"/>
      <c r="G14" s="452"/>
      <c r="H14" s="452"/>
      <c r="I14" s="452"/>
      <c r="J14" s="452"/>
      <c r="K14" s="452"/>
      <c r="L14" s="452"/>
      <c r="M14" s="452"/>
      <c r="N14" s="452"/>
      <c r="O14" s="452"/>
      <c r="P14" s="453"/>
      <c r="Q14" s="444">
        <f t="shared" si="0"/>
        <v>2048.2188691807819</v>
      </c>
    </row>
    <row r="15" spans="1:17" s="454" customFormat="1">
      <c r="A15" s="999" t="s">
        <v>547</v>
      </c>
      <c r="B15" s="947">
        <f ca="1">SUM(B4:B14)</f>
        <v>30340.699572800357</v>
      </c>
      <c r="C15" s="947">
        <f t="shared" ref="C15:Q15" ca="1" si="1">SUM(C4:C14)</f>
        <v>62.357142857142847</v>
      </c>
      <c r="D15" s="947">
        <f t="shared" ca="1" si="1"/>
        <v>40119.0514763717</v>
      </c>
      <c r="E15" s="947">
        <f t="shared" si="1"/>
        <v>1913.3985036952629</v>
      </c>
      <c r="F15" s="947">
        <f t="shared" ca="1" si="1"/>
        <v>37072.438586695782</v>
      </c>
      <c r="G15" s="947">
        <f t="shared" si="1"/>
        <v>71562.936838842899</v>
      </c>
      <c r="H15" s="947">
        <f t="shared" si="1"/>
        <v>18530.87049146153</v>
      </c>
      <c r="I15" s="947">
        <f t="shared" si="1"/>
        <v>0</v>
      </c>
      <c r="J15" s="947">
        <f t="shared" si="1"/>
        <v>276.5233337837779</v>
      </c>
      <c r="K15" s="947">
        <f t="shared" si="1"/>
        <v>0</v>
      </c>
      <c r="L15" s="947">
        <f t="shared" ca="1" si="1"/>
        <v>0</v>
      </c>
      <c r="M15" s="947">
        <f t="shared" si="1"/>
        <v>4725.1966512499721</v>
      </c>
      <c r="N15" s="947">
        <f t="shared" ca="1" si="1"/>
        <v>6219.1168275276559</v>
      </c>
      <c r="O15" s="947">
        <f t="shared" si="1"/>
        <v>123.50333333333334</v>
      </c>
      <c r="P15" s="947">
        <f t="shared" si="1"/>
        <v>572</v>
      </c>
      <c r="Q15" s="947">
        <f t="shared" ca="1" si="1"/>
        <v>211518.09275861943</v>
      </c>
    </row>
    <row r="17" spans="1:17">
      <c r="A17" s="455" t="s">
        <v>548</v>
      </c>
      <c r="B17" s="754">
        <f ca="1">huishoudens!B10</f>
        <v>0.20751143400887437</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3717.7543420161282</v>
      </c>
      <c r="C22" s="445">
        <f t="shared" ref="C22:C32" ca="1" si="3">C4*$C$17</f>
        <v>0</v>
      </c>
      <c r="D22" s="445">
        <f t="shared" ref="D22:D32" si="4">D4*$D$17</f>
        <v>5210.7927059682261</v>
      </c>
      <c r="E22" s="445">
        <f t="shared" ref="E22:E32" si="5">E4*$E$17</f>
        <v>279.85618656770447</v>
      </c>
      <c r="F22" s="445">
        <f t="shared" ref="F22:F32" si="6">F4*$F$17</f>
        <v>8339.6936077273276</v>
      </c>
      <c r="G22" s="445">
        <f t="shared" ref="G22:G32" si="7">G4*$G$17</f>
        <v>0</v>
      </c>
      <c r="H22" s="445">
        <f t="shared" ref="H22:H32" si="8">H4*$H$17</f>
        <v>0</v>
      </c>
      <c r="I22" s="445">
        <f t="shared" ref="I22:I32" si="9">I4*$I$17</f>
        <v>0</v>
      </c>
      <c r="J22" s="445">
        <f t="shared" ref="J22:J32" si="10">J4*$J$17</f>
        <v>53.205629887811369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17601.302472167197</v>
      </c>
    </row>
    <row r="23" spans="1:17">
      <c r="A23" s="444" t="s">
        <v>155</v>
      </c>
      <c r="B23" s="445">
        <f t="shared" ca="1" si="2"/>
        <v>1651.4364237060493</v>
      </c>
      <c r="C23" s="445">
        <f t="shared" ca="1" si="3"/>
        <v>0</v>
      </c>
      <c r="D23" s="445">
        <f t="shared" ca="1" si="4"/>
        <v>1941.7325670078362</v>
      </c>
      <c r="E23" s="445">
        <f t="shared" si="5"/>
        <v>28.613485731904678</v>
      </c>
      <c r="F23" s="445">
        <f t="shared" ca="1" si="6"/>
        <v>364.24742487778673</v>
      </c>
      <c r="G23" s="445">
        <f t="shared" si="7"/>
        <v>0</v>
      </c>
      <c r="H23" s="445">
        <f t="shared" si="8"/>
        <v>0</v>
      </c>
      <c r="I23" s="445">
        <f t="shared" si="9"/>
        <v>0</v>
      </c>
      <c r="J23" s="445">
        <f t="shared" si="10"/>
        <v>4.4835585148500319E-3</v>
      </c>
      <c r="K23" s="445">
        <f t="shared" si="11"/>
        <v>0</v>
      </c>
      <c r="L23" s="445">
        <f t="shared" ca="1" si="12"/>
        <v>0</v>
      </c>
      <c r="M23" s="445">
        <f t="shared" si="13"/>
        <v>0</v>
      </c>
      <c r="N23" s="445">
        <f t="shared" ca="1" si="14"/>
        <v>0</v>
      </c>
      <c r="O23" s="445">
        <f t="shared" si="15"/>
        <v>0</v>
      </c>
      <c r="P23" s="446">
        <f t="shared" si="16"/>
        <v>0</v>
      </c>
      <c r="Q23" s="444">
        <f t="shared" ref="Q23:Q32" ca="1" si="17">SUM(B23:P23)</f>
        <v>3986.0343848820917</v>
      </c>
    </row>
    <row r="24" spans="1:17">
      <c r="A24" s="444" t="s">
        <v>193</v>
      </c>
      <c r="B24" s="445">
        <f t="shared" ca="1" si="2"/>
        <v>128.83305878154164</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128.83305878154164</v>
      </c>
    </row>
    <row r="25" spans="1:17">
      <c r="A25" s="444" t="s">
        <v>111</v>
      </c>
      <c r="B25" s="445">
        <f t="shared" ca="1" si="2"/>
        <v>174.47332165103779</v>
      </c>
      <c r="C25" s="445">
        <f t="shared" ca="1" si="3"/>
        <v>0</v>
      </c>
      <c r="D25" s="445">
        <f t="shared" si="4"/>
        <v>544.1756565835866</v>
      </c>
      <c r="E25" s="445">
        <f t="shared" si="5"/>
        <v>5.6099316846955363</v>
      </c>
      <c r="F25" s="445">
        <f t="shared" si="6"/>
        <v>935.21592063031164</v>
      </c>
      <c r="G25" s="445">
        <f t="shared" si="7"/>
        <v>0</v>
      </c>
      <c r="H25" s="445">
        <f t="shared" si="8"/>
        <v>0</v>
      </c>
      <c r="I25" s="445">
        <f t="shared" si="9"/>
        <v>0</v>
      </c>
      <c r="J25" s="445">
        <f t="shared" si="10"/>
        <v>43.121541229547134</v>
      </c>
      <c r="K25" s="445">
        <f t="shared" si="11"/>
        <v>0</v>
      </c>
      <c r="L25" s="445">
        <f t="shared" si="12"/>
        <v>0</v>
      </c>
      <c r="M25" s="445">
        <f t="shared" si="13"/>
        <v>0</v>
      </c>
      <c r="N25" s="445">
        <f t="shared" si="14"/>
        <v>0</v>
      </c>
      <c r="O25" s="445">
        <f t="shared" si="15"/>
        <v>0</v>
      </c>
      <c r="P25" s="446">
        <f t="shared" si="16"/>
        <v>0</v>
      </c>
      <c r="Q25" s="444">
        <f t="shared" ca="1" si="17"/>
        <v>1702.5963717791785</v>
      </c>
    </row>
    <row r="26" spans="1:17">
      <c r="A26" s="444" t="s">
        <v>627</v>
      </c>
      <c r="B26" s="445">
        <f t="shared" ca="1" si="2"/>
        <v>458.42459786572243</v>
      </c>
      <c r="C26" s="445">
        <f t="shared" ca="1" si="3"/>
        <v>0</v>
      </c>
      <c r="D26" s="445">
        <f t="shared" si="4"/>
        <v>114.98495954912707</v>
      </c>
      <c r="E26" s="445">
        <f t="shared" si="5"/>
        <v>75.073285646337197</v>
      </c>
      <c r="F26" s="445">
        <f t="shared" si="6"/>
        <v>259.18414941234829</v>
      </c>
      <c r="G26" s="445">
        <f t="shared" si="7"/>
        <v>0</v>
      </c>
      <c r="H26" s="445">
        <f t="shared" si="8"/>
        <v>0</v>
      </c>
      <c r="I26" s="445">
        <f t="shared" si="9"/>
        <v>0</v>
      </c>
      <c r="J26" s="445">
        <f t="shared" si="10"/>
        <v>1.5576054835840143</v>
      </c>
      <c r="K26" s="445">
        <f t="shared" si="11"/>
        <v>0</v>
      </c>
      <c r="L26" s="445">
        <f t="shared" si="12"/>
        <v>0</v>
      </c>
      <c r="M26" s="445">
        <f t="shared" si="13"/>
        <v>0</v>
      </c>
      <c r="N26" s="445">
        <f t="shared" si="14"/>
        <v>0</v>
      </c>
      <c r="O26" s="445">
        <f t="shared" si="15"/>
        <v>0</v>
      </c>
      <c r="P26" s="446">
        <f t="shared" si="16"/>
        <v>0</v>
      </c>
      <c r="Q26" s="444">
        <f t="shared" ca="1" si="17"/>
        <v>909.22459795711893</v>
      </c>
    </row>
    <row r="27" spans="1:17" s="450" customFormat="1">
      <c r="A27" s="448" t="s">
        <v>553</v>
      </c>
      <c r="B27" s="748">
        <f t="shared" ca="1" si="2"/>
        <v>12.480168411870393</v>
      </c>
      <c r="C27" s="449">
        <f t="shared" ca="1" si="3"/>
        <v>0</v>
      </c>
      <c r="D27" s="449">
        <f t="shared" si="4"/>
        <v>23.464500448835622</v>
      </c>
      <c r="E27" s="449">
        <f t="shared" si="5"/>
        <v>45.18857070818283</v>
      </c>
      <c r="F27" s="449">
        <f t="shared" si="6"/>
        <v>0</v>
      </c>
      <c r="G27" s="449">
        <f t="shared" si="7"/>
        <v>18642.431579920867</v>
      </c>
      <c r="H27" s="449">
        <f t="shared" si="8"/>
        <v>4614.1867523739211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23337.751571863675</v>
      </c>
    </row>
    <row r="28" spans="1:17">
      <c r="A28" s="444" t="s">
        <v>543</v>
      </c>
      <c r="B28" s="445">
        <f t="shared" ca="1" si="2"/>
        <v>3.8460398517445107</v>
      </c>
      <c r="C28" s="445">
        <f t="shared" ca="1" si="3"/>
        <v>0</v>
      </c>
      <c r="D28" s="445">
        <f t="shared" si="4"/>
        <v>0</v>
      </c>
      <c r="E28" s="445">
        <f t="shared" si="5"/>
        <v>0</v>
      </c>
      <c r="F28" s="445">
        <f t="shared" si="6"/>
        <v>0</v>
      </c>
      <c r="G28" s="445">
        <f t="shared" si="7"/>
        <v>464.87255605019067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468.7185959019352</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148.79412490015076</v>
      </c>
      <c r="C32" s="445">
        <f t="shared" ca="1" si="3"/>
        <v>0</v>
      </c>
      <c r="D32" s="445">
        <f t="shared" si="4"/>
        <v>268.89800866947195</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417.69213356962268</v>
      </c>
    </row>
    <row r="33" spans="1:17" s="454" customFormat="1">
      <c r="A33" s="999" t="s">
        <v>547</v>
      </c>
      <c r="B33" s="947">
        <f ca="1">SUM(B22:B32)</f>
        <v>6296.0420771842446</v>
      </c>
      <c r="C33" s="947">
        <f t="shared" ref="C33:Q33" ca="1" si="18">SUM(C22:C32)</f>
        <v>0</v>
      </c>
      <c r="D33" s="947">
        <f t="shared" ca="1" si="18"/>
        <v>8104.0483982270835</v>
      </c>
      <c r="E33" s="947">
        <f t="shared" si="18"/>
        <v>434.34146033882473</v>
      </c>
      <c r="F33" s="947">
        <f t="shared" ca="1" si="18"/>
        <v>9898.3411026477752</v>
      </c>
      <c r="G33" s="947">
        <f t="shared" si="18"/>
        <v>19107.304135971059</v>
      </c>
      <c r="H33" s="947">
        <f t="shared" si="18"/>
        <v>4614.1867523739211</v>
      </c>
      <c r="I33" s="947">
        <f t="shared" si="18"/>
        <v>0</v>
      </c>
      <c r="J33" s="947">
        <f t="shared" si="18"/>
        <v>97.889260159457365</v>
      </c>
      <c r="K33" s="947">
        <f t="shared" si="18"/>
        <v>0</v>
      </c>
      <c r="L33" s="947">
        <f t="shared" ca="1" si="18"/>
        <v>0</v>
      </c>
      <c r="M33" s="947">
        <f t="shared" si="18"/>
        <v>0</v>
      </c>
      <c r="N33" s="947">
        <f t="shared" ca="1" si="18"/>
        <v>0</v>
      </c>
      <c r="O33" s="947">
        <f t="shared" si="18"/>
        <v>0</v>
      </c>
      <c r="P33" s="947">
        <f t="shared" si="18"/>
        <v>0</v>
      </c>
      <c r="Q33" s="947">
        <f t="shared" ca="1" si="18"/>
        <v>48552.15318690236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1808.1713954960831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1851.8213954960831</v>
      </c>
      <c r="C10" s="1020">
        <f>SUM(C4:C9)</f>
        <v>0</v>
      </c>
      <c r="D10" s="1020">
        <f t="shared" ref="D10:H10" si="0">SUM(D8:D9)</f>
        <v>0</v>
      </c>
      <c r="E10" s="1020">
        <f t="shared" si="0"/>
        <v>0</v>
      </c>
      <c r="F10" s="1020">
        <f t="shared" si="0"/>
        <v>0</v>
      </c>
      <c r="G10" s="1020">
        <f t="shared" si="0"/>
        <v>0</v>
      </c>
      <c r="H10" s="1020">
        <f t="shared" si="0"/>
        <v>0</v>
      </c>
      <c r="I10" s="1020">
        <f>SUM(I8:I9)</f>
        <v>0</v>
      </c>
      <c r="J10" s="1020">
        <f>SUM(J8:J9)</f>
        <v>51.35294117647058</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0.20751143400887437</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62.357142857142847</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62.357142857142847</v>
      </c>
      <c r="C20" s="1020">
        <f>SUM(C17:C19)</f>
        <v>0</v>
      </c>
      <c r="D20" s="1020">
        <f t="shared" ref="D20:H20" si="2">SUM(D17:D19)</f>
        <v>0</v>
      </c>
      <c r="E20" s="1020">
        <f t="shared" si="2"/>
        <v>0</v>
      </c>
      <c r="F20" s="1020">
        <f t="shared" si="2"/>
        <v>0</v>
      </c>
      <c r="G20" s="1020">
        <f t="shared" si="2"/>
        <v>0</v>
      </c>
      <c r="H20" s="1020">
        <f t="shared" si="2"/>
        <v>0</v>
      </c>
      <c r="I20" s="1020">
        <f>SUM(I17:I19)</f>
        <v>0</v>
      </c>
      <c r="J20" s="1020">
        <f>SUM(J17:J19)</f>
        <v>73.361344537815114</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0.20751143400887437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0.20751143400887437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0.20751143400887437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3546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1834.53</v>
      </c>
      <c r="C14" s="324"/>
      <c r="D14" s="324"/>
      <c r="E14" s="324"/>
      <c r="F14" s="324"/>
    </row>
    <row r="15" spans="1:6">
      <c r="A15" s="1291" t="s">
        <v>183</v>
      </c>
      <c r="B15" s="1292">
        <v>16</v>
      </c>
      <c r="C15" s="324"/>
      <c r="D15" s="324"/>
      <c r="E15" s="324"/>
      <c r="F15" s="324"/>
    </row>
    <row r="16" spans="1:6">
      <c r="A16" s="1291" t="s">
        <v>6</v>
      </c>
      <c r="B16" s="1292">
        <v>607</v>
      </c>
      <c r="C16" s="324"/>
      <c r="D16" s="324"/>
      <c r="E16" s="324"/>
      <c r="F16" s="324"/>
    </row>
    <row r="17" spans="1:6">
      <c r="A17" s="1291" t="s">
        <v>7</v>
      </c>
      <c r="B17" s="1292">
        <v>610</v>
      </c>
      <c r="C17" s="324"/>
      <c r="D17" s="324"/>
      <c r="E17" s="324"/>
      <c r="F17" s="324"/>
    </row>
    <row r="18" spans="1:6">
      <c r="A18" s="1291" t="s">
        <v>8</v>
      </c>
      <c r="B18" s="1292">
        <v>794</v>
      </c>
      <c r="C18" s="324"/>
      <c r="D18" s="324"/>
      <c r="E18" s="324"/>
      <c r="F18" s="324"/>
    </row>
    <row r="19" spans="1:6">
      <c r="A19" s="1291" t="s">
        <v>9</v>
      </c>
      <c r="B19" s="1292">
        <v>638</v>
      </c>
      <c r="C19" s="324"/>
      <c r="D19" s="324"/>
      <c r="E19" s="324"/>
      <c r="F19" s="324"/>
    </row>
    <row r="20" spans="1:6">
      <c r="A20" s="1291" t="s">
        <v>10</v>
      </c>
      <c r="B20" s="1292">
        <v>510</v>
      </c>
      <c r="C20" s="324"/>
      <c r="D20" s="324"/>
      <c r="E20" s="324"/>
      <c r="F20" s="324"/>
    </row>
    <row r="21" spans="1:6">
      <c r="A21" s="1291" t="s">
        <v>11</v>
      </c>
      <c r="B21" s="1292">
        <v>2</v>
      </c>
      <c r="C21" s="324"/>
      <c r="D21" s="324"/>
      <c r="E21" s="324"/>
      <c r="F21" s="324"/>
    </row>
    <row r="22" spans="1:6">
      <c r="A22" s="1291" t="s">
        <v>12</v>
      </c>
      <c r="B22" s="1292">
        <v>6</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1</v>
      </c>
      <c r="C25" s="324"/>
      <c r="D25" s="324"/>
      <c r="E25" s="324"/>
      <c r="F25" s="324"/>
    </row>
    <row r="26" spans="1:6">
      <c r="A26" s="1291" t="s">
        <v>16</v>
      </c>
      <c r="B26" s="1292">
        <v>539</v>
      </c>
      <c r="C26" s="324"/>
      <c r="D26" s="324"/>
      <c r="E26" s="324"/>
      <c r="F26" s="324"/>
    </row>
    <row r="27" spans="1:6">
      <c r="A27" s="1291" t="s">
        <v>17</v>
      </c>
      <c r="B27" s="1292">
        <v>11</v>
      </c>
      <c r="C27" s="324"/>
      <c r="D27" s="324"/>
      <c r="E27" s="324"/>
      <c r="F27" s="324"/>
    </row>
    <row r="28" spans="1:6" s="43" customFormat="1">
      <c r="A28" s="1293" t="s">
        <v>18</v>
      </c>
      <c r="B28" s="1294">
        <v>11734</v>
      </c>
      <c r="C28" s="330"/>
      <c r="D28" s="330"/>
      <c r="E28" s="330"/>
      <c r="F28" s="330"/>
    </row>
    <row r="29" spans="1:6">
      <c r="A29" s="1293" t="s">
        <v>722</v>
      </c>
      <c r="B29" s="1294">
        <v>145</v>
      </c>
      <c r="C29" s="330"/>
      <c r="D29" s="330"/>
      <c r="E29" s="330"/>
      <c r="F29" s="330"/>
    </row>
    <row r="30" spans="1:6">
      <c r="A30" s="1286" t="s">
        <v>723</v>
      </c>
      <c r="B30" s="1295">
        <v>17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1470</v>
      </c>
      <c r="D39" s="1292">
        <v>28598673.4976632</v>
      </c>
      <c r="E39" s="1292">
        <v>3425</v>
      </c>
      <c r="F39" s="1292">
        <v>16234608.431734901</v>
      </c>
    </row>
    <row r="40" spans="1:6">
      <c r="A40" s="1291" t="s">
        <v>29</v>
      </c>
      <c r="B40" s="1291" t="s">
        <v>28</v>
      </c>
      <c r="C40" s="1292">
        <v>0</v>
      </c>
      <c r="D40" s="1292">
        <v>0</v>
      </c>
      <c r="E40" s="1292">
        <v>0</v>
      </c>
      <c r="F40" s="1292">
        <v>0</v>
      </c>
    </row>
    <row r="41" spans="1:6">
      <c r="A41" s="1291" t="s">
        <v>31</v>
      </c>
      <c r="B41" s="1291" t="s">
        <v>32</v>
      </c>
      <c r="C41" s="1292">
        <v>20</v>
      </c>
      <c r="D41" s="1292">
        <v>480333.36276298499</v>
      </c>
      <c r="E41" s="1292">
        <v>94</v>
      </c>
      <c r="F41" s="1292">
        <v>898616.81818048004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9</v>
      </c>
      <c r="D48" s="1292">
        <v>150744.76696592901</v>
      </c>
      <c r="E48" s="1292">
        <v>26</v>
      </c>
      <c r="F48" s="1292">
        <v>1229061.13455848</v>
      </c>
    </row>
    <row r="49" spans="1:6">
      <c r="A49" s="1291" t="s">
        <v>31</v>
      </c>
      <c r="B49" s="1291" t="s">
        <v>39</v>
      </c>
      <c r="C49" s="1292">
        <v>0</v>
      </c>
      <c r="D49" s="1292">
        <v>0</v>
      </c>
      <c r="E49" s="1292">
        <v>0</v>
      </c>
      <c r="F49" s="1292">
        <v>0</v>
      </c>
    </row>
    <row r="50" spans="1:6">
      <c r="A50" s="1291" t="s">
        <v>31</v>
      </c>
      <c r="B50" s="1291" t="s">
        <v>40</v>
      </c>
      <c r="C50" s="1292">
        <v>0</v>
      </c>
      <c r="D50" s="1292">
        <v>0</v>
      </c>
      <c r="E50" s="1292">
        <v>4</v>
      </c>
      <c r="F50" s="1292">
        <v>81475.485264449497</v>
      </c>
    </row>
    <row r="51" spans="1:6">
      <c r="A51" s="1291" t="s">
        <v>41</v>
      </c>
      <c r="B51" s="1291" t="s">
        <v>42</v>
      </c>
      <c r="C51" s="1292">
        <v>0</v>
      </c>
      <c r="D51" s="1292">
        <v>0</v>
      </c>
      <c r="E51" s="1292">
        <v>50</v>
      </c>
      <c r="F51" s="1292">
        <v>751508.12075752602</v>
      </c>
    </row>
    <row r="52" spans="1:6">
      <c r="A52" s="1291" t="s">
        <v>41</v>
      </c>
      <c r="B52" s="1291" t="s">
        <v>28</v>
      </c>
      <c r="C52" s="1292">
        <v>4</v>
      </c>
      <c r="D52" s="1292">
        <v>2986628.4855633602</v>
      </c>
      <c r="E52" s="1292">
        <v>9</v>
      </c>
      <c r="F52" s="1292">
        <v>89280.833761367307</v>
      </c>
    </row>
    <row r="53" spans="1:6">
      <c r="A53" s="1291" t="s">
        <v>43</v>
      </c>
      <c r="B53" s="1291" t="s">
        <v>44</v>
      </c>
      <c r="C53" s="1292">
        <v>44</v>
      </c>
      <c r="D53" s="1292">
        <v>1331178.26073996</v>
      </c>
      <c r="E53" s="1292">
        <v>126</v>
      </c>
      <c r="F53" s="1292">
        <v>717040.60844082199</v>
      </c>
    </row>
    <row r="54" spans="1:6">
      <c r="A54" s="1291" t="s">
        <v>45</v>
      </c>
      <c r="B54" s="1291" t="s">
        <v>46</v>
      </c>
      <c r="C54" s="1292">
        <v>0</v>
      </c>
      <c r="D54" s="1292">
        <v>0</v>
      </c>
      <c r="E54" s="1292">
        <v>1</v>
      </c>
      <c r="F54" s="1292">
        <v>620848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21</v>
      </c>
      <c r="D57" s="1292">
        <v>579258.44451082998</v>
      </c>
      <c r="E57" s="1292">
        <v>32</v>
      </c>
      <c r="F57" s="1292">
        <v>358787.79959483602</v>
      </c>
    </row>
    <row r="58" spans="1:6">
      <c r="A58" s="1291" t="s">
        <v>48</v>
      </c>
      <c r="B58" s="1291" t="s">
        <v>50</v>
      </c>
      <c r="C58" s="1292">
        <v>14</v>
      </c>
      <c r="D58" s="1292">
        <v>614122.45220187597</v>
      </c>
      <c r="E58" s="1292">
        <v>25</v>
      </c>
      <c r="F58" s="1292">
        <v>737325.65998406103</v>
      </c>
    </row>
    <row r="59" spans="1:6">
      <c r="A59" s="1291" t="s">
        <v>48</v>
      </c>
      <c r="B59" s="1291" t="s">
        <v>51</v>
      </c>
      <c r="C59" s="1292">
        <v>28</v>
      </c>
      <c r="D59" s="1292">
        <v>1348228.7025645601</v>
      </c>
      <c r="E59" s="1292">
        <v>95</v>
      </c>
      <c r="F59" s="1292">
        <v>2280365.5290508498</v>
      </c>
    </row>
    <row r="60" spans="1:6">
      <c r="A60" s="1291" t="s">
        <v>48</v>
      </c>
      <c r="B60" s="1291" t="s">
        <v>52</v>
      </c>
      <c r="C60" s="1292">
        <v>21</v>
      </c>
      <c r="D60" s="1292">
        <v>764075.59246650198</v>
      </c>
      <c r="E60" s="1292">
        <v>45</v>
      </c>
      <c r="F60" s="1292">
        <v>888907.45201306697</v>
      </c>
    </row>
    <row r="61" spans="1:6">
      <c r="A61" s="1291" t="s">
        <v>48</v>
      </c>
      <c r="B61" s="1291" t="s">
        <v>53</v>
      </c>
      <c r="C61" s="1292">
        <v>66</v>
      </c>
      <c r="D61" s="1292">
        <v>3367795.9440597398</v>
      </c>
      <c r="E61" s="1292">
        <v>133</v>
      </c>
      <c r="F61" s="1292">
        <v>1339463.0772642</v>
      </c>
    </row>
    <row r="62" spans="1:6">
      <c r="A62" s="1291" t="s">
        <v>48</v>
      </c>
      <c r="B62" s="1291" t="s">
        <v>54</v>
      </c>
      <c r="C62" s="1292">
        <v>7</v>
      </c>
      <c r="D62" s="1292">
        <v>842360.77610797598</v>
      </c>
      <c r="E62" s="1292">
        <v>9</v>
      </c>
      <c r="F62" s="1292">
        <v>339197.64814777201</v>
      </c>
    </row>
    <row r="63" spans="1:6">
      <c r="A63" s="1291" t="s">
        <v>48</v>
      </c>
      <c r="B63" s="1291" t="s">
        <v>28</v>
      </c>
      <c r="C63" s="1292">
        <v>63</v>
      </c>
      <c r="D63" s="1292">
        <v>3141073.23269476</v>
      </c>
      <c r="E63" s="1292">
        <v>89</v>
      </c>
      <c r="F63" s="1292">
        <v>2014244.05579386</v>
      </c>
    </row>
    <row r="64" spans="1:6">
      <c r="A64" s="1291" t="s">
        <v>55</v>
      </c>
      <c r="B64" s="1291" t="s">
        <v>56</v>
      </c>
      <c r="C64" s="1292">
        <v>0</v>
      </c>
      <c r="D64" s="1292">
        <v>0</v>
      </c>
      <c r="E64" s="1292">
        <v>0</v>
      </c>
      <c r="F64" s="1292">
        <v>0</v>
      </c>
    </row>
    <row r="65" spans="1:6">
      <c r="A65" s="1291" t="s">
        <v>55</v>
      </c>
      <c r="B65" s="1291" t="s">
        <v>28</v>
      </c>
      <c r="C65" s="1292">
        <v>1</v>
      </c>
      <c r="D65" s="1292">
        <v>5931.3940924400003</v>
      </c>
      <c r="E65" s="1292">
        <v>0</v>
      </c>
      <c r="F65" s="1292">
        <v>0</v>
      </c>
    </row>
    <row r="66" spans="1:6">
      <c r="A66" s="1291" t="s">
        <v>55</v>
      </c>
      <c r="B66" s="1291" t="s">
        <v>57</v>
      </c>
      <c r="C66" s="1292">
        <v>0</v>
      </c>
      <c r="D66" s="1292">
        <v>0</v>
      </c>
      <c r="E66" s="1292">
        <v>13</v>
      </c>
      <c r="F66" s="1292">
        <v>267843.268935423</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64859.151528171104</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54816246</v>
      </c>
      <c r="E73" s="443"/>
      <c r="F73" s="324"/>
    </row>
    <row r="74" spans="1:6">
      <c r="A74" s="1291" t="s">
        <v>63</v>
      </c>
      <c r="B74" s="1291" t="s">
        <v>648</v>
      </c>
      <c r="C74" s="1305" t="s">
        <v>650</v>
      </c>
      <c r="D74" s="1306">
        <v>3059787</v>
      </c>
      <c r="E74" s="443"/>
      <c r="F74" s="324"/>
    </row>
    <row r="75" spans="1:6">
      <c r="A75" s="1291" t="s">
        <v>64</v>
      </c>
      <c r="B75" s="1291" t="s">
        <v>647</v>
      </c>
      <c r="C75" s="1305" t="s">
        <v>651</v>
      </c>
      <c r="D75" s="1306">
        <v>51304643</v>
      </c>
      <c r="E75" s="443"/>
      <c r="F75" s="324"/>
    </row>
    <row r="76" spans="1:6">
      <c r="A76" s="1291" t="s">
        <v>64</v>
      </c>
      <c r="B76" s="1291" t="s">
        <v>648</v>
      </c>
      <c r="C76" s="1305" t="s">
        <v>652</v>
      </c>
      <c r="D76" s="1306">
        <v>1573800</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505866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1681.2927318469369</v>
      </c>
      <c r="C91" s="324"/>
      <c r="D91" s="324"/>
      <c r="E91" s="324"/>
      <c r="F91" s="324"/>
    </row>
    <row r="92" spans="1:6">
      <c r="A92" s="1286" t="s">
        <v>68</v>
      </c>
      <c r="B92" s="1287">
        <v>126.87866364914612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622</v>
      </c>
      <c r="C97" s="324"/>
      <c r="D97" s="324"/>
      <c r="E97" s="324"/>
      <c r="F97" s="324"/>
    </row>
    <row r="98" spans="1:6">
      <c r="A98" s="1291" t="s">
        <v>71</v>
      </c>
      <c r="B98" s="1292">
        <v>2</v>
      </c>
      <c r="C98" s="324"/>
      <c r="D98" s="324"/>
      <c r="E98" s="324"/>
      <c r="F98" s="324"/>
    </row>
    <row r="99" spans="1:6">
      <c r="A99" s="1291" t="s">
        <v>72</v>
      </c>
      <c r="B99" s="1292">
        <v>79</v>
      </c>
      <c r="C99" s="324"/>
      <c r="D99" s="324"/>
      <c r="E99" s="324"/>
      <c r="F99" s="324"/>
    </row>
    <row r="100" spans="1:6">
      <c r="A100" s="1291" t="s">
        <v>73</v>
      </c>
      <c r="B100" s="1292">
        <v>385</v>
      </c>
      <c r="C100" s="324"/>
      <c r="D100" s="324"/>
      <c r="E100" s="324"/>
      <c r="F100" s="324"/>
    </row>
    <row r="101" spans="1:6">
      <c r="A101" s="1291" t="s">
        <v>74</v>
      </c>
      <c r="B101" s="1292">
        <v>43</v>
      </c>
      <c r="C101" s="324"/>
      <c r="D101" s="324"/>
      <c r="E101" s="324"/>
      <c r="F101" s="324"/>
    </row>
    <row r="102" spans="1:6">
      <c r="A102" s="1291" t="s">
        <v>75</v>
      </c>
      <c r="B102" s="1292">
        <v>42</v>
      </c>
      <c r="C102" s="324"/>
      <c r="D102" s="324"/>
      <c r="E102" s="324"/>
      <c r="F102" s="324"/>
    </row>
    <row r="103" spans="1:6">
      <c r="A103" s="1291" t="s">
        <v>76</v>
      </c>
      <c r="B103" s="1292">
        <v>96</v>
      </c>
      <c r="C103" s="324"/>
      <c r="D103" s="324"/>
      <c r="E103" s="324"/>
      <c r="F103" s="324"/>
    </row>
    <row r="104" spans="1:6">
      <c r="A104" s="1291" t="s">
        <v>77</v>
      </c>
      <c r="B104" s="1292">
        <v>2009</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16</v>
      </c>
      <c r="C123" s="1292">
        <v>13</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64</v>
      </c>
      <c r="C129" s="324"/>
      <c r="D129" s="324"/>
      <c r="E129" s="324"/>
      <c r="F129" s="324"/>
    </row>
    <row r="130" spans="1:6">
      <c r="A130" s="1291" t="s">
        <v>289</v>
      </c>
      <c r="B130" s="1292">
        <v>2</v>
      </c>
      <c r="C130" s="324"/>
      <c r="D130" s="324"/>
      <c r="E130" s="324"/>
      <c r="F130" s="324"/>
    </row>
    <row r="131" spans="1:6">
      <c r="A131" s="1291" t="s">
        <v>290</v>
      </c>
      <c r="B131" s="1292">
        <v>0</v>
      </c>
      <c r="C131" s="324"/>
      <c r="D131" s="324"/>
      <c r="E131" s="324"/>
      <c r="F131" s="324"/>
    </row>
    <row r="132" spans="1:6">
      <c r="A132" s="1286" t="s">
        <v>291</v>
      </c>
      <c r="B132" s="1287">
        <v>13</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30340.69957280036</v>
      </c>
      <c r="C3" s="43" t="s">
        <v>169</v>
      </c>
      <c r="D3" s="43"/>
      <c r="E3" s="154"/>
      <c r="F3" s="43"/>
      <c r="G3" s="43"/>
      <c r="H3" s="43"/>
      <c r="I3" s="43"/>
      <c r="J3" s="43"/>
      <c r="K3" s="96"/>
    </row>
    <row r="4" spans="1:11">
      <c r="A4" s="352" t="s">
        <v>170</v>
      </c>
      <c r="B4" s="49">
        <f>IF(ISERROR('SEAP template'!B78+'SEAP template'!C78),0,'SEAP template'!B78+'SEAP template'!C78)</f>
        <v>1851.8213954960831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0.20751143400887437</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62.357142857142847</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620.84799999999996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620.84799999999996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0.20751143400887437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128.83305878154164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16234.608431734901</v>
      </c>
      <c r="C5" s="17">
        <f>IF(ISERROR('Eigen informatie GS &amp; warmtenet'!B57),0,'Eigen informatie GS &amp; warmtenet'!B57)</f>
        <v>0</v>
      </c>
      <c r="D5" s="30">
        <f>(SUM(HH_hh_gas_kWh,HH_rest_gas_kWh)/1000)*0.902</f>
        <v>25796.003494892208</v>
      </c>
      <c r="E5" s="17">
        <f>B32*B41</f>
        <v>1232.8466368621341</v>
      </c>
      <c r="F5" s="17">
        <f>B36*B45</f>
        <v>31234.807519578004</v>
      </c>
      <c r="G5" s="18"/>
      <c r="H5" s="17"/>
      <c r="I5" s="17"/>
      <c r="J5" s="17">
        <f>B35*B44+C35*C44</f>
        <v>150.29838951359145</v>
      </c>
      <c r="K5" s="17"/>
      <c r="L5" s="17"/>
      <c r="M5" s="17"/>
      <c r="N5" s="17">
        <f>B34*B43+C34*C43</f>
        <v>5539.9651715903965</v>
      </c>
      <c r="O5" s="17">
        <f>B52*B53*B54</f>
        <v>120.37666666666668</v>
      </c>
      <c r="P5" s="17">
        <f>B60*B61*B62/1000-B60*B61*B62/1000/B63</f>
        <v>572</v>
      </c>
    </row>
    <row r="6" spans="1:16">
      <c r="A6" s="16" t="s">
        <v>613</v>
      </c>
      <c r="B6" s="756">
        <f>kWh_PV_kleiner_dan_10kW</f>
        <v>1681.2927318469369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17915.901163581839</v>
      </c>
      <c r="C8" s="21">
        <f>C5</f>
        <v>0</v>
      </c>
      <c r="D8" s="21">
        <f>D5</f>
        <v>25796.003494892208</v>
      </c>
      <c r="E8" s="21">
        <f>E5</f>
        <v>1232.8466368621341</v>
      </c>
      <c r="F8" s="21">
        <f>F5</f>
        <v>31234.807519578004</v>
      </c>
      <c r="G8" s="21"/>
      <c r="H8" s="21"/>
      <c r="I8" s="21"/>
      <c r="J8" s="21">
        <f>J5</f>
        <v>150.29838951359145</v>
      </c>
      <c r="K8" s="21"/>
      <c r="L8" s="21">
        <f>L5</f>
        <v>0</v>
      </c>
      <c r="M8" s="21">
        <f>M5</f>
        <v>0</v>
      </c>
      <c r="N8" s="21">
        <f>N5</f>
        <v>5539.9651715903965</v>
      </c>
      <c r="O8" s="21">
        <f>O5</f>
        <v>120.37666666666668</v>
      </c>
      <c r="P8" s="21">
        <f>P5</f>
        <v>572</v>
      </c>
    </row>
    <row r="9" spans="1:16">
      <c r="B9" s="19"/>
      <c r="C9" s="19"/>
      <c r="D9" s="254"/>
      <c r="E9" s="19"/>
      <c r="F9" s="19"/>
      <c r="G9" s="19"/>
      <c r="H9" s="19"/>
      <c r="I9" s="19"/>
      <c r="J9" s="19"/>
      <c r="K9" s="19"/>
      <c r="L9" s="19"/>
      <c r="M9" s="19"/>
      <c r="N9" s="19"/>
      <c r="O9" s="19"/>
      <c r="P9" s="19"/>
    </row>
    <row r="10" spans="1:16">
      <c r="A10" s="24" t="s">
        <v>213</v>
      </c>
      <c r="B10" s="25">
        <f ca="1">'EF ele_warmte'!B12</f>
        <v>0.20751143400887437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3717.7543420161282</v>
      </c>
      <c r="C12" s="23">
        <f ca="1">C10*C8</f>
        <v>0</v>
      </c>
      <c r="D12" s="23">
        <f>D8*D10</f>
        <v>5210.7927059682261</v>
      </c>
      <c r="E12" s="23">
        <f>E10*E8</f>
        <v>279.85618656770447</v>
      </c>
      <c r="F12" s="23">
        <f>F10*F8</f>
        <v>8339.6936077273276</v>
      </c>
      <c r="G12" s="23"/>
      <c r="H12" s="23"/>
      <c r="I12" s="23"/>
      <c r="J12" s="23">
        <f>J10*J8</f>
        <v>53.205629887811369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3546</v>
      </c>
      <c r="C26" s="36"/>
      <c r="D26" s="225"/>
    </row>
    <row r="27" spans="1:5" s="15" customFormat="1">
      <c r="A27" s="227" t="s">
        <v>768</v>
      </c>
      <c r="B27" s="37">
        <f>SUM(HH_hh_gas_aantal,HH_rest_gas_aantal)</f>
        <v>1470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1396.5</v>
      </c>
      <c r="C31" s="34" t="s">
        <v>110</v>
      </c>
      <c r="D31" s="171"/>
    </row>
    <row r="32" spans="1:5">
      <c r="A32" s="168" t="s">
        <v>72</v>
      </c>
      <c r="B32" s="33">
        <f>IF((B21*($B$26-($B$27-0.05*$B$27)-$B$60))&lt;0,0,B21*($B$26-($B$27-0.05*$B$27)-$B$60))</f>
        <v>23.315547667553577</v>
      </c>
      <c r="C32" s="34" t="s">
        <v>110</v>
      </c>
      <c r="D32" s="171"/>
    </row>
    <row r="33" spans="1:6">
      <c r="A33" s="168" t="s">
        <v>73</v>
      </c>
      <c r="B33" s="33">
        <f>IF((B22*($B$26-($B$27-0.05*$B$27)-$B$60))&lt;0,0,B22*($B$26-($B$27-0.05*$B$27)-$B$60))</f>
        <v>484.74981568919588</v>
      </c>
      <c r="C33" s="34" t="s">
        <v>110</v>
      </c>
      <c r="D33" s="171"/>
    </row>
    <row r="34" spans="1:6">
      <c r="A34" s="168" t="s">
        <v>74</v>
      </c>
      <c r="B34" s="33">
        <f>IF((B24*($B$26-($B$27-0.05*$B$27)-$B$60))&lt;0,0,B24*($B$26-($B$27-0.05*$B$27)-$B$60))</f>
        <v>96.39950580131152</v>
      </c>
      <c r="C34" s="33">
        <f>B26*C24</f>
        <v>725.85042785813823</v>
      </c>
      <c r="D34" s="230"/>
    </row>
    <row r="35" spans="1:6">
      <c r="A35" s="168" t="s">
        <v>76</v>
      </c>
      <c r="B35" s="33">
        <f>IF((B19*($B$26-($B$27-0.05*$B$27)-$B$60))&lt;0,0,B19*($B$26-($B$27-0.05*$B$27)-$B$60))</f>
        <v>17.647355453037118</v>
      </c>
      <c r="C35" s="33">
        <f>B35/2</f>
        <v>8.8236777265185591</v>
      </c>
      <c r="D35" s="230"/>
    </row>
    <row r="36" spans="1:6">
      <c r="A36" s="168" t="s">
        <v>77</v>
      </c>
      <c r="B36" s="33">
        <f>IF((B18*($B$26-($B$27-0.05*$B$27)-$B$60))&lt;0,0,B18*($B$26-($B$27-0.05*$B$27)-$B$60))</f>
        <v>1497.3877753889019</v>
      </c>
      <c r="C36" s="34" t="s">
        <v>110</v>
      </c>
      <c r="D36" s="171"/>
    </row>
    <row r="37" spans="1:6">
      <c r="A37" s="168" t="s">
        <v>78</v>
      </c>
      <c r="B37" s="33">
        <f>B60</f>
        <v>30</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77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30</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7958.2912218486454</v>
      </c>
      <c r="C5" s="17">
        <f>IF(ISERROR('Eigen informatie GS &amp; warmtenet'!B58),0,'Eigen informatie GS &amp; warmtenet'!B58)</f>
        <v>0</v>
      </c>
      <c r="D5" s="30">
        <f>SUM(D6:D12)</f>
        <v>9612.5374604348326</v>
      </c>
      <c r="E5" s="17">
        <f>SUM(E6:E12)</f>
        <v>126.05059793790606</v>
      </c>
      <c r="F5" s="17">
        <f>SUM(F6:F12)</f>
        <v>1364.2225650853434</v>
      </c>
      <c r="G5" s="18"/>
      <c r="H5" s="17"/>
      <c r="I5" s="17"/>
      <c r="J5" s="17">
        <f>SUM(J6:J12)</f>
        <v>1.2665419533474668E-2</v>
      </c>
      <c r="K5" s="17"/>
      <c r="L5" s="17"/>
      <c r="M5" s="17"/>
      <c r="N5" s="17">
        <f>SUM(N6:N12)</f>
        <v>516.76931295268298</v>
      </c>
      <c r="O5" s="17">
        <f>B38*B39*B40</f>
        <v>3.1266666666666669</v>
      </c>
      <c r="P5" s="17">
        <f>B46*B47*B48/1000-B46*B47*B48/1000/B49</f>
        <v>0</v>
      </c>
      <c r="R5" s="32"/>
    </row>
    <row r="6" spans="1:18">
      <c r="A6" s="32" t="s">
        <v>53</v>
      </c>
      <c r="B6" s="37">
        <f>B26</f>
        <v>1339.4630772641999</v>
      </c>
      <c r="C6" s="33"/>
      <c r="D6" s="37">
        <f>IF(ISERROR(TER_kantoor_gas_kWh/1000),0,TER_kantoor_gas_kWh/1000)*0.902</f>
        <v>3037.7519415418851</v>
      </c>
      <c r="E6" s="33">
        <f>$C$26*'E Balans VL '!I12/100/3.6*1000000</f>
        <v>8.3953090698518692E-3</v>
      </c>
      <c r="F6" s="33">
        <f>$C$26*('E Balans VL '!L12+'E Balans VL '!N12)/100/3.6*1000000</f>
        <v>201.28387234476529</v>
      </c>
      <c r="G6" s="34"/>
      <c r="H6" s="33"/>
      <c r="I6" s="33"/>
      <c r="J6" s="33">
        <f>$C$26*('E Balans VL '!D12+'E Balans VL '!E12)/100/3.6*1000000</f>
        <v>0</v>
      </c>
      <c r="K6" s="33"/>
      <c r="L6" s="33"/>
      <c r="M6" s="33"/>
      <c r="N6" s="33">
        <f>$C$26*'E Balans VL '!Y12/100/3.6*1000000</f>
        <v>1.2809978362071193</v>
      </c>
      <c r="O6" s="33"/>
      <c r="P6" s="33"/>
      <c r="R6" s="32"/>
    </row>
    <row r="7" spans="1:18">
      <c r="A7" s="32" t="s">
        <v>52</v>
      </c>
      <c r="B7" s="37">
        <f t="shared" ref="B7:B12" si="0">B27</f>
        <v>888.90745201306697</v>
      </c>
      <c r="C7" s="33"/>
      <c r="D7" s="37">
        <f>IF(ISERROR(TER_horeca_gas_kWh/1000),0,TER_horeca_gas_kWh/1000)*0.902</f>
        <v>689.19618440478484</v>
      </c>
      <c r="E7" s="33">
        <f>$C$27*'E Balans VL '!I9/100/3.6*1000000</f>
        <v>12.729006649110694</v>
      </c>
      <c r="F7" s="33">
        <f>$C$27*('E Balans VL '!L9+'E Balans VL '!N9)/100/3.6*1000000</f>
        <v>112.56500072209586</v>
      </c>
      <c r="G7" s="34"/>
      <c r="H7" s="33"/>
      <c r="I7" s="33"/>
      <c r="J7" s="33">
        <f>$C$27*('E Balans VL '!D9+'E Balans VL '!E9)/100/3.6*1000000</f>
        <v>0</v>
      </c>
      <c r="K7" s="33"/>
      <c r="L7" s="33"/>
      <c r="M7" s="33"/>
      <c r="N7" s="33">
        <f>$C$27*'E Balans VL '!Y9/100/3.6*1000000</f>
        <v>0.25554129372678802</v>
      </c>
      <c r="O7" s="33"/>
      <c r="P7" s="33"/>
      <c r="R7" s="32"/>
    </row>
    <row r="8" spans="1:18">
      <c r="A8" s="6" t="s">
        <v>51</v>
      </c>
      <c r="B8" s="37">
        <f t="shared" si="0"/>
        <v>2280.36552905085</v>
      </c>
      <c r="C8" s="33"/>
      <c r="D8" s="37">
        <f>IF(ISERROR(TER_handel_gas_kWh/1000),0,TER_handel_gas_kWh/1000)*0.902</f>
        <v>1216.1022897132332</v>
      </c>
      <c r="E8" s="33">
        <f>$C$28*'E Balans VL '!I13/100/3.6*1000000</f>
        <v>82.708576536595572</v>
      </c>
      <c r="F8" s="33">
        <f>$C$28*('E Balans VL '!L13+'E Balans VL '!N13)/100/3.6*1000000</f>
        <v>439.22149106420244</v>
      </c>
      <c r="G8" s="34"/>
      <c r="H8" s="33"/>
      <c r="I8" s="33"/>
      <c r="J8" s="33">
        <f>$C$28*('E Balans VL '!D13+'E Balans VL '!E13)/100/3.6*1000000</f>
        <v>0</v>
      </c>
      <c r="K8" s="33"/>
      <c r="L8" s="33"/>
      <c r="M8" s="33"/>
      <c r="N8" s="33">
        <f>$C$28*'E Balans VL '!Y13/100/3.6*1000000</f>
        <v>3.1588309464432465</v>
      </c>
      <c r="O8" s="33"/>
      <c r="P8" s="33"/>
      <c r="R8" s="32"/>
    </row>
    <row r="9" spans="1:18">
      <c r="A9" s="32" t="s">
        <v>50</v>
      </c>
      <c r="B9" s="37">
        <f t="shared" si="0"/>
        <v>737.32565998406108</v>
      </c>
      <c r="C9" s="33"/>
      <c r="D9" s="37">
        <f>IF(ISERROR(TER_gezond_gas_kWh/1000),0,TER_gezond_gas_kWh/1000)*0.902</f>
        <v>553.93845188609214</v>
      </c>
      <c r="E9" s="33">
        <f>$C$29*'E Balans VL '!I10/100/3.6*1000000</f>
        <v>4.6163866090727035E-2</v>
      </c>
      <c r="F9" s="33">
        <f>$C$29*('E Balans VL '!L10+'E Balans VL '!N10)/100/3.6*1000000</f>
        <v>109.53197173346989</v>
      </c>
      <c r="G9" s="34"/>
      <c r="H9" s="33"/>
      <c r="I9" s="33"/>
      <c r="J9" s="33">
        <f>$C$29*('E Balans VL '!D10+'E Balans VL '!E10)/100/3.6*1000000</f>
        <v>0</v>
      </c>
      <c r="K9" s="33"/>
      <c r="L9" s="33"/>
      <c r="M9" s="33"/>
      <c r="N9" s="33">
        <f>$C$29*'E Balans VL '!Y10/100/3.6*1000000</f>
        <v>11.405024454478086</v>
      </c>
      <c r="O9" s="33"/>
      <c r="P9" s="33"/>
      <c r="R9" s="32"/>
    </row>
    <row r="10" spans="1:18">
      <c r="A10" s="32" t="s">
        <v>49</v>
      </c>
      <c r="B10" s="37">
        <f t="shared" si="0"/>
        <v>358.78779959483603</v>
      </c>
      <c r="C10" s="33"/>
      <c r="D10" s="37">
        <f>IF(ISERROR(TER_ander_gas_kWh/1000),0,TER_ander_gas_kWh/1000)*0.902</f>
        <v>522.49111694876865</v>
      </c>
      <c r="E10" s="33">
        <f>$C$30*'E Balans VL '!I14/100/3.6*1000000</f>
        <v>0.42766223620744004</v>
      </c>
      <c r="F10" s="33">
        <f>$C$30*('E Balans VL '!L14+'E Balans VL '!N14)/100/3.6*1000000</f>
        <v>93.874838826780405</v>
      </c>
      <c r="G10" s="34"/>
      <c r="H10" s="33"/>
      <c r="I10" s="33"/>
      <c r="J10" s="33">
        <f>$C$30*('E Balans VL '!D14+'E Balans VL '!E14)/100/3.6*1000000</f>
        <v>7.787876719863196E-3</v>
      </c>
      <c r="K10" s="33"/>
      <c r="L10" s="33"/>
      <c r="M10" s="33"/>
      <c r="N10" s="33">
        <f>$C$30*'E Balans VL '!Y14/100/3.6*1000000</f>
        <v>304.67382000205771</v>
      </c>
      <c r="O10" s="33"/>
      <c r="P10" s="33"/>
      <c r="R10" s="32"/>
    </row>
    <row r="11" spans="1:18">
      <c r="A11" s="32" t="s">
        <v>54</v>
      </c>
      <c r="B11" s="37">
        <f t="shared" si="0"/>
        <v>339.19764814777199</v>
      </c>
      <c r="C11" s="33"/>
      <c r="D11" s="37">
        <f>IF(ISERROR(TER_onderwijs_gas_kWh/1000),0,TER_onderwijs_gas_kWh/1000)*0.902</f>
        <v>759.80942004939436</v>
      </c>
      <c r="E11" s="33">
        <f>$C$31*'E Balans VL '!I11/100/3.6*1000000</f>
        <v>5.1179461807872073</v>
      </c>
      <c r="F11" s="33">
        <f>$C$31*('E Balans VL '!L11+'E Balans VL '!N11)/100/3.6*1000000</f>
        <v>59.432846799127603</v>
      </c>
      <c r="G11" s="34"/>
      <c r="H11" s="33"/>
      <c r="I11" s="33"/>
      <c r="J11" s="33">
        <f>$C$31*('E Balans VL '!D11+'E Balans VL '!E11)/100/3.6*1000000</f>
        <v>0</v>
      </c>
      <c r="K11" s="33"/>
      <c r="L11" s="33"/>
      <c r="M11" s="33"/>
      <c r="N11" s="33">
        <f>$C$31*'E Balans VL '!Y11/100/3.6*1000000</f>
        <v>0.95452796867505174</v>
      </c>
      <c r="O11" s="33"/>
      <c r="P11" s="33"/>
      <c r="R11" s="32"/>
    </row>
    <row r="12" spans="1:18">
      <c r="A12" s="32" t="s">
        <v>254</v>
      </c>
      <c r="B12" s="37">
        <f t="shared" si="0"/>
        <v>2014.2440557938601</v>
      </c>
      <c r="C12" s="33"/>
      <c r="D12" s="37">
        <f>IF(ISERROR(TER_rest_gas_kWh/1000),0,TER_rest_gas_kWh/1000)*0.902</f>
        <v>2833.2480558906736</v>
      </c>
      <c r="E12" s="33">
        <f>$C$32*'E Balans VL '!I8/100/3.6*1000000</f>
        <v>25.01284716004459</v>
      </c>
      <c r="F12" s="33">
        <f>$C$32*('E Balans VL '!L8+'E Balans VL '!N8)/100/3.6*1000000</f>
        <v>348.31254359490202</v>
      </c>
      <c r="G12" s="34"/>
      <c r="H12" s="33"/>
      <c r="I12" s="33"/>
      <c r="J12" s="33">
        <f>$C$32*('E Balans VL '!D8+'E Balans VL '!E8)/100/3.6*1000000</f>
        <v>4.8775428136114711E-3</v>
      </c>
      <c r="K12" s="33"/>
      <c r="L12" s="33"/>
      <c r="M12" s="33"/>
      <c r="N12" s="33">
        <f>$C$32*'E Balans VL '!Y8/100/3.6*1000000</f>
        <v>195.04057045109496</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7958.2912218486454</v>
      </c>
      <c r="C16" s="21">
        <f t="shared" ca="1" si="1"/>
        <v>0</v>
      </c>
      <c r="D16" s="21">
        <f t="shared" ca="1" si="1"/>
        <v>9612.5374604348326</v>
      </c>
      <c r="E16" s="21">
        <f t="shared" si="1"/>
        <v>126.05059793790606</v>
      </c>
      <c r="F16" s="21">
        <f t="shared" ca="1" si="1"/>
        <v>1364.2225650853434</v>
      </c>
      <c r="G16" s="21">
        <f t="shared" si="1"/>
        <v>0</v>
      </c>
      <c r="H16" s="21">
        <f t="shared" si="1"/>
        <v>0</v>
      </c>
      <c r="I16" s="21">
        <f t="shared" si="1"/>
        <v>0</v>
      </c>
      <c r="J16" s="21">
        <f t="shared" si="1"/>
        <v>1.2665419533474668E-2</v>
      </c>
      <c r="K16" s="21">
        <f t="shared" si="1"/>
        <v>0</v>
      </c>
      <c r="L16" s="21">
        <f t="shared" ca="1" si="1"/>
        <v>0</v>
      </c>
      <c r="M16" s="21">
        <f t="shared" si="1"/>
        <v>0</v>
      </c>
      <c r="N16" s="21">
        <f t="shared" ca="1" si="1"/>
        <v>516.76931295268298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0.20751143400887437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1651.4364237060493</v>
      </c>
      <c r="C20" s="23">
        <f t="shared" ref="C20:P20" ca="1" si="2">C16*C18</f>
        <v>0</v>
      </c>
      <c r="D20" s="23">
        <f t="shared" ca="1" si="2"/>
        <v>1941.7325670078362</v>
      </c>
      <c r="E20" s="23">
        <f t="shared" si="2"/>
        <v>28.613485731904678</v>
      </c>
      <c r="F20" s="23">
        <f t="shared" ca="1" si="2"/>
        <v>364.24742487778673</v>
      </c>
      <c r="G20" s="23">
        <f t="shared" si="2"/>
        <v>0</v>
      </c>
      <c r="H20" s="23">
        <f t="shared" si="2"/>
        <v>0</v>
      </c>
      <c r="I20" s="23">
        <f t="shared" si="2"/>
        <v>0</v>
      </c>
      <c r="J20" s="23">
        <f t="shared" si="2"/>
        <v>4.4835585148500319E-3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1339.4630772641999</v>
      </c>
      <c r="C26" s="39">
        <f>IF(ISERROR(B26*3.6/1000000/'E Balans VL '!Z12*100),0,B26*3.6/1000000/'E Balans VL '!Z12*100)</f>
        <v>2.8314127572455723E-2</v>
      </c>
      <c r="D26" s="233" t="s">
        <v>732</v>
      </c>
      <c r="F26" s="6"/>
    </row>
    <row r="27" spans="1:18">
      <c r="A27" s="228" t="s">
        <v>52</v>
      </c>
      <c r="B27" s="33">
        <f>IF(ISERROR(TER_horeca_ele_kWh/1000),0,TER_horeca_ele_kWh/1000)</f>
        <v>888.90745201306697</v>
      </c>
      <c r="C27" s="39">
        <f>IF(ISERROR(B27*3.6/1000000/'E Balans VL '!Z9*100),0,B27*3.6/1000000/'E Balans VL '!Z9*100)</f>
        <v>7.0072243129468567E-2</v>
      </c>
      <c r="D27" s="233" t="s">
        <v>732</v>
      </c>
      <c r="F27" s="6"/>
    </row>
    <row r="28" spans="1:18">
      <c r="A28" s="168" t="s">
        <v>51</v>
      </c>
      <c r="B28" s="33">
        <f>IF(ISERROR(TER_handel_ele_kWh/1000),0,TER_handel_ele_kWh/1000)</f>
        <v>2280.36552905085</v>
      </c>
      <c r="C28" s="39">
        <f>IF(ISERROR(B28*3.6/1000000/'E Balans VL '!Z13*100),0,B28*3.6/1000000/'E Balans VL '!Z13*100)</f>
        <v>6.6185421362245381E-2</v>
      </c>
      <c r="D28" s="233" t="s">
        <v>732</v>
      </c>
      <c r="F28" s="6"/>
    </row>
    <row r="29" spans="1:18">
      <c r="A29" s="228" t="s">
        <v>50</v>
      </c>
      <c r="B29" s="33">
        <f>IF(ISERROR(TER_gezond_ele_kWh/1000),0,TER_gezond_ele_kWh/1000)</f>
        <v>737.32565998406108</v>
      </c>
      <c r="C29" s="39">
        <f>IF(ISERROR(B29*3.6/1000000/'E Balans VL '!Z10*100),0,B29*3.6/1000000/'E Balans VL '!Z10*100)</f>
        <v>7.7652499203242034E-2</v>
      </c>
      <c r="D29" s="233" t="s">
        <v>732</v>
      </c>
      <c r="F29" s="6"/>
    </row>
    <row r="30" spans="1:18">
      <c r="A30" s="228" t="s">
        <v>49</v>
      </c>
      <c r="B30" s="33">
        <f>IF(ISERROR(TER_ander_ele_kWh/1000),0,TER_ander_ele_kWh/1000)</f>
        <v>358.78779959483603</v>
      </c>
      <c r="C30" s="39">
        <f>IF(ISERROR(B30*3.6/1000000/'E Balans VL '!Z14*100),0,B30*3.6/1000000/'E Balans VL '!Z14*100)</f>
        <v>2.6464266026437533E-2</v>
      </c>
      <c r="D30" s="233" t="s">
        <v>732</v>
      </c>
      <c r="F30" s="6"/>
    </row>
    <row r="31" spans="1:18">
      <c r="A31" s="228" t="s">
        <v>54</v>
      </c>
      <c r="B31" s="33">
        <f>IF(ISERROR(TER_onderwijs_ele_kWh/1000),0,TER_onderwijs_ele_kWh/1000)</f>
        <v>339.19764814777199</v>
      </c>
      <c r="C31" s="39">
        <f>IF(ISERROR(B31*3.6/1000000/'E Balans VL '!Z11*100),0,B31*3.6/1000000/'E Balans VL '!Z11*100)</f>
        <v>8.4238664988664225E-2</v>
      </c>
      <c r="D31" s="233" t="s">
        <v>732</v>
      </c>
    </row>
    <row r="32" spans="1:18">
      <c r="A32" s="228" t="s">
        <v>254</v>
      </c>
      <c r="B32" s="33">
        <f>IF(ISERROR(TER_rest_ele_kWh/1000),0,TER_rest_ele_kWh/1000)</f>
        <v>2014.2440557938601</v>
      </c>
      <c r="C32" s="39">
        <f>IF(ISERROR(B32*3.6/1000000/'E Balans VL '!Z8*100),0,B32*3.6/1000000/'E Balans VL '!Z8*100)</f>
        <v>1.6574554941981678E-2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2209.1534380034095</v>
      </c>
      <c r="C5" s="17">
        <f>IF(ISERROR('Eigen informatie GS &amp; warmtenet'!B59),0,'Eigen informatie GS &amp; warmtenet'!B59)</f>
        <v>0</v>
      </c>
      <c r="D5" s="30">
        <f>SUM(D6:D15)</f>
        <v>569.23247301548054</v>
      </c>
      <c r="E5" s="17">
        <f>SUM(E6:E15)</f>
        <v>330.71932002791715</v>
      </c>
      <c r="F5" s="17">
        <f>SUM(F6:F15)</f>
        <v>970.72715135710973</v>
      </c>
      <c r="G5" s="18"/>
      <c r="H5" s="17"/>
      <c r="I5" s="17"/>
      <c r="J5" s="17">
        <f>SUM(J6:J15)</f>
        <v>4.4000154903503228</v>
      </c>
      <c r="K5" s="17"/>
      <c r="L5" s="17"/>
      <c r="M5" s="17"/>
      <c r="N5" s="17">
        <f>SUM(N6:N15)</f>
        <v>162.38234298457576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898.6168181804801</v>
      </c>
      <c r="C9" s="33"/>
      <c r="D9" s="37">
        <f>IF( ISERROR(IND_andere_gas_kWh/1000),0,IND_andere_gas_kWh/1000)*0.902</f>
        <v>433.26069321221252</v>
      </c>
      <c r="E9" s="33">
        <f>C31*'E Balans VL '!I19/100/3.6*1000000</f>
        <v>262.68318996019821</v>
      </c>
      <c r="F9" s="33">
        <f>C31*'E Balans VL '!L19/100/3.6*1000000+C31*'E Balans VL '!N19/100/3.6*1000000</f>
        <v>722.1066324511595</v>
      </c>
      <c r="G9" s="34"/>
      <c r="H9" s="33"/>
      <c r="I9" s="33"/>
      <c r="J9" s="40">
        <f>C31*'E Balans VL '!D19/100/3.6*1000000+C31*'E Balans VL '!E19/100/3.6*1000000</f>
        <v>0</v>
      </c>
      <c r="K9" s="33"/>
      <c r="L9" s="33"/>
      <c r="M9" s="33"/>
      <c r="N9" s="33">
        <f>C31*'E Balans VL '!Y19/100/3.6*1000000</f>
        <v>70.486282744688211</v>
      </c>
      <c r="O9" s="33"/>
      <c r="P9" s="33"/>
      <c r="R9" s="32"/>
    </row>
    <row r="10" spans="1:18">
      <c r="A10" s="6" t="s">
        <v>40</v>
      </c>
      <c r="B10" s="37">
        <f t="shared" si="0"/>
        <v>81.475485264449503</v>
      </c>
      <c r="C10" s="33"/>
      <c r="D10" s="37">
        <f>IF( ISERROR(IND_voed_gas_kWh/1000),0,IND_voed_gas_kWh/1000)*0.902</f>
        <v>0</v>
      </c>
      <c r="E10" s="33">
        <f>C32*'E Balans VL '!I20/100/3.6*1000000</f>
        <v>0.17236265236930429</v>
      </c>
      <c r="F10" s="33">
        <f>C32*'E Balans VL '!L20/100/3.6*1000000+C32*'E Balans VL '!N20/100/3.6*1000000</f>
        <v>5.1802945778813694</v>
      </c>
      <c r="G10" s="34"/>
      <c r="H10" s="33"/>
      <c r="I10" s="33"/>
      <c r="J10" s="40">
        <f>C32*'E Balans VL '!D20/100/3.6*1000000+C32*'E Balans VL '!E20/100/3.6*1000000</f>
        <v>0</v>
      </c>
      <c r="K10" s="33"/>
      <c r="L10" s="33"/>
      <c r="M10" s="33"/>
      <c r="N10" s="33">
        <f>C32*'E Balans VL '!Y20/100/3.6*1000000</f>
        <v>5.6226125029814922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1229.06113455848</v>
      </c>
      <c r="C15" s="33"/>
      <c r="D15" s="37">
        <f>IF( ISERROR(IND_rest_gas_kWh/1000),0,IND_rest_gas_kWh/1000)*0.902</f>
        <v>135.97177980326796</v>
      </c>
      <c r="E15" s="33">
        <f>C37*'E Balans VL '!I15/100/3.6*1000000</f>
        <v>67.863767415349614</v>
      </c>
      <c r="F15" s="33">
        <f>C37*'E Balans VL '!L15/100/3.6*1000000+C37*'E Balans VL '!N15/100/3.6*1000000</f>
        <v>243.44022432806892</v>
      </c>
      <c r="G15" s="34"/>
      <c r="H15" s="33"/>
      <c r="I15" s="33"/>
      <c r="J15" s="40">
        <f>C37*'E Balans VL '!D15/100/3.6*1000000+C37*'E Balans VL '!E15/100/3.6*1000000</f>
        <v>4.4000154903503228</v>
      </c>
      <c r="K15" s="33"/>
      <c r="L15" s="33"/>
      <c r="M15" s="33"/>
      <c r="N15" s="33">
        <f>C37*'E Balans VL '!Y15/100/3.6*1000000</f>
        <v>86.273447736906064</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2209.1534380034095</v>
      </c>
      <c r="C18" s="21">
        <f>C5+C16</f>
        <v>0</v>
      </c>
      <c r="D18" s="21">
        <f>MAX((D5+D16),0)</f>
        <v>569.23247301548054</v>
      </c>
      <c r="E18" s="21">
        <f>MAX((E5+E16),0)</f>
        <v>330.71932002791715</v>
      </c>
      <c r="F18" s="21">
        <f>MAX((F5+F16),0)</f>
        <v>970.72715135710973</v>
      </c>
      <c r="G18" s="21"/>
      <c r="H18" s="21"/>
      <c r="I18" s="21"/>
      <c r="J18" s="21">
        <f>MAX((J5+J16),0)</f>
        <v>4.4000154903503228</v>
      </c>
      <c r="K18" s="21"/>
      <c r="L18" s="21">
        <f>MAX((L5+L16),0)</f>
        <v>0</v>
      </c>
      <c r="M18" s="21"/>
      <c r="N18" s="21">
        <f>MAX((N5+N16),0)</f>
        <v>162.38234298457576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0.20751143400887437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458.42459786572243</v>
      </c>
      <c r="C22" s="23">
        <f ca="1">C18*C20</f>
        <v>0</v>
      </c>
      <c r="D22" s="23">
        <f>D18*D20</f>
        <v>114.98495954912707</v>
      </c>
      <c r="E22" s="23">
        <f>E18*E20</f>
        <v>75.073285646337197</v>
      </c>
      <c r="F22" s="23">
        <f>F18*F20</f>
        <v>259.18414941234829</v>
      </c>
      <c r="G22" s="23"/>
      <c r="H22" s="23"/>
      <c r="I22" s="23"/>
      <c r="J22" s="23">
        <f>J18*J20</f>
        <v>1.5576054835840143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898.6168181804801</v>
      </c>
      <c r="C31" s="39">
        <f>IF(ISERROR(B31*3.6/1000000/'E Balans VL '!Z19*100),0,B31*3.6/1000000/'E Balans VL '!Z19*100)</f>
        <v>4.0757517097360127E-2</v>
      </c>
      <c r="D31" s="233" t="s">
        <v>732</v>
      </c>
    </row>
    <row r="32" spans="1:18">
      <c r="A32" s="168" t="s">
        <v>40</v>
      </c>
      <c r="B32" s="37">
        <f>IF( ISERROR(IND_voed_ele_kWh/1000),0,IND_voed_ele_kWh/1000)</f>
        <v>81.475485264449503</v>
      </c>
      <c r="C32" s="39">
        <f>IF(ISERROR(B32*3.6/1000000/'E Balans VL '!Z20*100),0,B32*3.6/1000000/'E Balans VL '!Z20*100)</f>
        <v>2.5204066267025815E-3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1229.06113455848</v>
      </c>
      <c r="C37" s="39">
        <f>IF(ISERROR(B37*3.6/1000000/'E Balans VL '!Z15*100),0,B37*3.6/1000000/'E Balans VL '!Z15*100)</f>
        <v>9.7418189220033098E-3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840.78895451889332</v>
      </c>
      <c r="C5" s="17">
        <f>'Eigen informatie GS &amp; warmtenet'!B60</f>
        <v>0</v>
      </c>
      <c r="D5" s="30">
        <f>IF(ISERROR(SUM(LB_lb_gas_kWh,LB_rest_gas_kWh)/1000),0,SUM(LB_lb_gas_kWh,LB_rest_gas_kWh)/1000)*0.902</f>
        <v>2693.9388939781511</v>
      </c>
      <c r="E5" s="17">
        <f>B17*'E Balans VL '!I25/3.6*1000000/100</f>
        <v>24.713355439187385</v>
      </c>
      <c r="F5" s="17">
        <f>B17*('E Balans VL '!L25/3.6*1000000+'E Balans VL '!N25/3.6*1000000)/100</f>
        <v>3502.6813506753242</v>
      </c>
      <c r="G5" s="18"/>
      <c r="H5" s="17"/>
      <c r="I5" s="17"/>
      <c r="J5" s="17">
        <f>('E Balans VL '!D25+'E Balans VL '!E25)/3.6*1000000*landbouw!B17/100</f>
        <v>121.81226336030264</v>
      </c>
      <c r="K5" s="17"/>
      <c r="L5" s="17">
        <f>L6*(-1)</f>
        <v>0</v>
      </c>
      <c r="M5" s="17"/>
      <c r="N5" s="17">
        <f>N6*(-1)</f>
        <v>124.71428571428569</v>
      </c>
      <c r="O5" s="17"/>
      <c r="P5" s="17"/>
      <c r="R5" s="32"/>
    </row>
    <row r="6" spans="1:18">
      <c r="A6" s="16" t="s">
        <v>480</v>
      </c>
      <c r="B6" s="17" t="s">
        <v>210</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840.78895451889332</v>
      </c>
      <c r="C8" s="21">
        <f>C5+C6</f>
        <v>62.357142857142847</v>
      </c>
      <c r="D8" s="21">
        <f>MAX((D5+D6),0)</f>
        <v>2693.9388939781511</v>
      </c>
      <c r="E8" s="21">
        <f>MAX((E5+E6),0)</f>
        <v>24.713355439187385</v>
      </c>
      <c r="F8" s="21">
        <f>MAX((F5+F6),0)</f>
        <v>3502.6813506753242</v>
      </c>
      <c r="G8" s="21"/>
      <c r="H8" s="21"/>
      <c r="I8" s="21"/>
      <c r="J8" s="21">
        <f>MAX((J5+J6),0)</f>
        <v>121.81226336030264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0.20751143400887437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174.47332165103779</v>
      </c>
      <c r="C12" s="23">
        <f ca="1">C8*C10</f>
        <v>0</v>
      </c>
      <c r="D12" s="23">
        <f>D8*D10</f>
        <v>544.1756565835866</v>
      </c>
      <c r="E12" s="23">
        <f>E8*E10</f>
        <v>5.6099316846955363</v>
      </c>
      <c r="F12" s="23">
        <f>F8*F10</f>
        <v>935.21592063031164</v>
      </c>
      <c r="G12" s="23"/>
      <c r="H12" s="23"/>
      <c r="I12" s="23"/>
      <c r="J12" s="23">
        <f>J8*J10</f>
        <v>43.121541229547134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0.11931059054112816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204.47269205274586</v>
      </c>
      <c r="C26" s="243">
        <f>B26*'GWP N2O_CH4'!B5</f>
        <v>4293.9265331076631</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27.217650326345776</v>
      </c>
      <c r="C27" s="243">
        <f>B27*'GWP N2O_CH4'!B5</f>
        <v>571.57065685326131</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2.869773606639165</v>
      </c>
      <c r="C28" s="243">
        <f>B28*'GWP N2O_CH4'!B4</f>
        <v>889.62981805814115</v>
      </c>
      <c r="D28" s="50"/>
    </row>
    <row r="29" spans="1:4">
      <c r="A29" s="41" t="s">
        <v>271</v>
      </c>
      <c r="B29" s="243">
        <f>B34*'ha_N2O bodem landbouw'!B4</f>
        <v>11.935893173529367</v>
      </c>
      <c r="C29" s="243">
        <f>B29*'GWP N2O_CH4'!B4</f>
        <v>3700.1268837941038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2.723729689281642E-3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2.1651147319820465E-4</v>
      </c>
      <c r="C5" s="431" t="s">
        <v>210</v>
      </c>
      <c r="D5" s="416">
        <f>SUM(D6:D11)</f>
        <v>4.1817921591984274E-4</v>
      </c>
      <c r="E5" s="416">
        <f>SUM(E6:E11)</f>
        <v>7.1664693634122551E-4</v>
      </c>
      <c r="F5" s="429" t="s">
        <v>210</v>
      </c>
      <c r="G5" s="416">
        <f>SUM(G6:G11)</f>
        <v>0.25135862804387682</v>
      </c>
      <c r="H5" s="416">
        <f>SUM(H6:H11)</f>
        <v>6.6711133769261508E-2</v>
      </c>
      <c r="I5" s="431" t="s">
        <v>210</v>
      </c>
      <c r="J5" s="431" t="s">
        <v>210</v>
      </c>
      <c r="K5" s="431" t="s">
        <v>210</v>
      </c>
      <c r="L5" s="431" t="s">
        <v>210</v>
      </c>
      <c r="M5" s="416">
        <f>SUM(M6:M11)</f>
        <v>1.6649755835974538E-2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9.6150224380509323E-5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1.6164543513384584E-4</v>
      </c>
      <c r="E6" s="859">
        <f>vkm_GW_PW*SUMIFS(TableVerdeelsleutelVkm[LPG],TableVerdeelsleutelVkm[Voertuigtype],"Lichte voertuigen")*SUMIFS(TableECFTransport[EnergieConsumptieFactor (PJ per km)],TableECFTransport[Index],CONCATENATE($A6,"_LPG_LPG"))</f>
        <v>2.8441652790205205E-4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8.4385560343409521E-2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2.6116018890028264E-2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5.6991406578304638E-3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8.949431071775581E-7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2.8745947228220582E-2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4.6900699483774422E-7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1.6794976008584826E-3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1.1900599214552911E-4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2.5653378078599692E-4</v>
      </c>
      <c r="E8" s="419">
        <f>vkm_NGW_PW*SUMIFS(TableVerdeelsleutelVkm[LPG],TableVerdeelsleutelVkm[Voertuigtype],"Lichte voertuigen")*SUMIFS(TableECFTransport[EnergieConsumptieFactor (PJ per km)],TableECFTransport[Index],CONCATENATE($A8,"_LPG_LPG"))</f>
        <v>4.3223040843917341E-4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0.11925639076408058</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4.0594354697219746E-2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8.1627429165529886E-3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4.6031356498868738E-7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1.8970729708166136E-2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2.9117501866051997E-7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1.1083746607326033E-3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60.142075888390181</v>
      </c>
      <c r="C14" s="21"/>
      <c r="D14" s="21">
        <f t="shared" ref="D14:M14" si="0">((D5)*10^9/3600)+D12</f>
        <v>116.16089331106743</v>
      </c>
      <c r="E14" s="21">
        <f t="shared" si="0"/>
        <v>199.06859342811819</v>
      </c>
      <c r="F14" s="21"/>
      <c r="G14" s="21">
        <f t="shared" si="0"/>
        <v>69821.84112329912</v>
      </c>
      <c r="H14" s="21">
        <f t="shared" si="0"/>
        <v>18530.87049146153</v>
      </c>
      <c r="I14" s="21"/>
      <c r="J14" s="21"/>
      <c r="K14" s="21"/>
      <c r="L14" s="21"/>
      <c r="M14" s="21">
        <f t="shared" si="0"/>
        <v>4624.932176659594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0.20751143400887437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12.480168411870393</v>
      </c>
      <c r="C18" s="23"/>
      <c r="D18" s="23">
        <f t="shared" ref="D18:M18" si="1">D14*D16</f>
        <v>23.464500448835622</v>
      </c>
      <c r="E18" s="23">
        <f t="shared" si="1"/>
        <v>45.18857070818283</v>
      </c>
      <c r="F18" s="23"/>
      <c r="G18" s="23">
        <f t="shared" si="1"/>
        <v>18642.431579920867</v>
      </c>
      <c r="H18" s="23">
        <f t="shared" si="1"/>
        <v>4614.1867523739211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6.6722797866107549E-5</v>
      </c>
      <c r="C50" s="313">
        <f t="shared" ref="C50:P50" si="2">SUM(C51:C52)</f>
        <v>0</v>
      </c>
      <c r="D50" s="313">
        <f t="shared" si="2"/>
        <v>0</v>
      </c>
      <c r="E50" s="313">
        <f t="shared" si="2"/>
        <v>0</v>
      </c>
      <c r="F50" s="313">
        <f t="shared" si="2"/>
        <v>0</v>
      </c>
      <c r="G50" s="313">
        <f t="shared" si="2"/>
        <v>6.2679445759576272E-3</v>
      </c>
      <c r="H50" s="313">
        <f t="shared" si="2"/>
        <v>0</v>
      </c>
      <c r="I50" s="313">
        <f t="shared" si="2"/>
        <v>0</v>
      </c>
      <c r="J50" s="313">
        <f t="shared" si="2"/>
        <v>0</v>
      </c>
      <c r="K50" s="313">
        <f t="shared" si="2"/>
        <v>0</v>
      </c>
      <c r="L50" s="313">
        <f t="shared" si="2"/>
        <v>0</v>
      </c>
      <c r="M50" s="313">
        <f t="shared" si="2"/>
        <v>3.6095210852536051E-4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6.6722797866107549E-5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6.2679445759576272E-3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3.6095210852536051E-4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18.534110518363207</v>
      </c>
      <c r="C54" s="21">
        <f t="shared" ref="C54:P54" si="3">(C50)*10^9/3600</f>
        <v>0</v>
      </c>
      <c r="D54" s="21">
        <f t="shared" si="3"/>
        <v>0</v>
      </c>
      <c r="E54" s="21">
        <f t="shared" si="3"/>
        <v>0</v>
      </c>
      <c r="F54" s="21">
        <f t="shared" si="3"/>
        <v>0</v>
      </c>
      <c r="G54" s="21">
        <f t="shared" si="3"/>
        <v>1741.0957155437852</v>
      </c>
      <c r="H54" s="21">
        <f t="shared" si="3"/>
        <v>0</v>
      </c>
      <c r="I54" s="21">
        <f t="shared" si="3"/>
        <v>0</v>
      </c>
      <c r="J54" s="21">
        <f t="shared" si="3"/>
        <v>0</v>
      </c>
      <c r="K54" s="21">
        <f t="shared" si="3"/>
        <v>0</v>
      </c>
      <c r="L54" s="21">
        <f t="shared" si="3"/>
        <v>0</v>
      </c>
      <c r="M54" s="21">
        <f t="shared" si="3"/>
        <v>100.26447459037793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0.20751143400887437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3.8460398517445107</v>
      </c>
      <c r="C58" s="23">
        <f t="shared" ref="C58:P58" ca="1" si="4">C54*C56</f>
        <v>0</v>
      </c>
      <c r="D58" s="23">
        <f t="shared" si="4"/>
        <v>0</v>
      </c>
      <c r="E58" s="23">
        <f t="shared" si="4"/>
        <v>0</v>
      </c>
      <c r="F58" s="23">
        <f t="shared" si="4"/>
        <v>0</v>
      </c>
      <c r="G58" s="23">
        <f t="shared" si="4"/>
        <v>464.87255605019067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1808.1713954960831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43.649999999999991</v>
      </c>
      <c r="C8" s="538">
        <f>B48</f>
        <v>0</v>
      </c>
      <c r="D8" s="1004"/>
      <c r="E8" s="1004">
        <f>E48</f>
        <v>0</v>
      </c>
      <c r="F8" s="1005"/>
      <c r="G8" s="539"/>
      <c r="H8" s="1004">
        <f>I48</f>
        <v>0</v>
      </c>
      <c r="I8" s="1004">
        <f>G48+F48</f>
        <v>0</v>
      </c>
      <c r="J8" s="1004">
        <f>H48+D48+C48</f>
        <v>51.35294117647058</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1851.8213954960831</v>
      </c>
      <c r="C10" s="551">
        <f t="shared" ref="C10:L10" si="0">SUM(C8:C9)</f>
        <v>0</v>
      </c>
      <c r="D10" s="551">
        <f t="shared" si="0"/>
        <v>0</v>
      </c>
      <c r="E10" s="551">
        <f t="shared" si="0"/>
        <v>0</v>
      </c>
      <c r="F10" s="551">
        <f t="shared" si="0"/>
        <v>0</v>
      </c>
      <c r="G10" s="551">
        <f t="shared" si="0"/>
        <v>0</v>
      </c>
      <c r="H10" s="551">
        <f t="shared" si="0"/>
        <v>0</v>
      </c>
      <c r="I10" s="551">
        <f t="shared" si="0"/>
        <v>0</v>
      </c>
      <c r="J10" s="551">
        <f t="shared" si="0"/>
        <v>51.35294117647058</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62.357142857142847</v>
      </c>
      <c r="C17" s="563">
        <f>B49</f>
        <v>0</v>
      </c>
      <c r="D17" s="564"/>
      <c r="E17" s="564">
        <f>E49</f>
        <v>0</v>
      </c>
      <c r="F17" s="1010"/>
      <c r="G17" s="565"/>
      <c r="H17" s="563">
        <f>I49</f>
        <v>0</v>
      </c>
      <c r="I17" s="564">
        <f>G49+F49</f>
        <v>0</v>
      </c>
      <c r="J17" s="564">
        <f>H49+D49+C49</f>
        <v>73.361344537815114</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62.357142857142847</v>
      </c>
      <c r="C20" s="550">
        <f>SUM(C17:C19)</f>
        <v>0</v>
      </c>
      <c r="D20" s="550">
        <f t="shared" ref="D20:L20" si="1">SUM(D17:D19)</f>
        <v>0</v>
      </c>
      <c r="E20" s="550">
        <f t="shared" si="1"/>
        <v>0</v>
      </c>
      <c r="F20" s="550">
        <f t="shared" si="1"/>
        <v>0</v>
      </c>
      <c r="G20" s="550">
        <f t="shared" si="1"/>
        <v>0</v>
      </c>
      <c r="H20" s="550">
        <f t="shared" si="1"/>
        <v>0</v>
      </c>
      <c r="I20" s="550">
        <f t="shared" si="1"/>
        <v>0</v>
      </c>
      <c r="J20" s="550">
        <f t="shared" si="1"/>
        <v>73.361344537815114</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23104</v>
      </c>
      <c r="C28" s="764">
        <v>1750</v>
      </c>
      <c r="D28" s="621" t="s">
        <v>902</v>
      </c>
      <c r="E28" s="620" t="s">
        <v>903</v>
      </c>
      <c r="F28" s="620" t="s">
        <v>904</v>
      </c>
      <c r="G28" s="620" t="s">
        <v>905</v>
      </c>
      <c r="H28" s="620" t="s">
        <v>906</v>
      </c>
      <c r="I28" s="620" t="s">
        <v>903</v>
      </c>
      <c r="J28" s="763">
        <v>41108</v>
      </c>
      <c r="K28" s="763">
        <v>41164</v>
      </c>
      <c r="L28" s="620" t="s">
        <v>907</v>
      </c>
      <c r="M28" s="620">
        <v>9.6999999999999993</v>
      </c>
      <c r="N28" s="620">
        <v>43.649999999999991</v>
      </c>
      <c r="O28" s="620">
        <v>62.357142857142847</v>
      </c>
      <c r="P28" s="620">
        <v>0</v>
      </c>
      <c r="Q28" s="620">
        <v>124.71428571428569</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9.6999999999999993</v>
      </c>
      <c r="N29" s="578">
        <f>SUM(N28:N28)</f>
        <v>43.649999999999991</v>
      </c>
      <c r="O29" s="578">
        <f>SUM(O28:O28)</f>
        <v>62.357142857142847</v>
      </c>
      <c r="P29" s="578">
        <f>SUM(P28:P28)</f>
        <v>0</v>
      </c>
      <c r="Q29" s="578">
        <f>SUM(Q28:Q28)</f>
        <v>124.71428571428569</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9.6999999999999993</v>
      </c>
      <c r="N32" s="583">
        <f>SUMIF($Z$28:$Z$28,"landbouw",N28:N28)</f>
        <v>43.649999999999991</v>
      </c>
      <c r="O32" s="583">
        <f>SUMIF($Z$28:$Z$28,"landbouw",O28:O28)</f>
        <v>62.357142857142847</v>
      </c>
      <c r="P32" s="583">
        <f>SUMIF($Z$28:$Z$28,"landbouw",P28:P28)</f>
        <v>0</v>
      </c>
      <c r="Q32" s="583">
        <f>SUMIF($Z$28:$Z$28,"landbouw",Q28:Q28)</f>
        <v>124.71428571428569</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51.35294117647058</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73.361344537815114</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2021-06-29T15:38:56Z</dcterms:modified>
</cp:coreProperties>
</file>