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6" i="17" l="1"/>
  <c r="F13" i="15"/>
  <c r="B8" i="18"/>
  <c r="B45" i="18"/>
  <c r="I49" i="18" s="1"/>
  <c r="H17"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C49" i="18"/>
  <c r="E49" i="18"/>
  <c r="E17" i="18" s="1"/>
  <c r="E20" i="18" s="1"/>
  <c r="I8" i="18"/>
  <c r="M77" i="14"/>
  <c r="M9" i="61" s="1"/>
  <c r="H78" i="14"/>
  <c r="H9" i="61"/>
  <c r="H10" i="61" s="1"/>
  <c r="O90" i="14"/>
  <c r="O18" i="61"/>
  <c r="O20" i="61" s="1"/>
  <c r="B88" i="14"/>
  <c r="B18" i="61" s="1"/>
  <c r="B77" i="14"/>
  <c r="B9" i="61" s="1"/>
  <c r="J17" i="18"/>
  <c r="H20" i="18"/>
  <c r="M87" i="14"/>
  <c r="J8" i="18"/>
  <c r="M76" i="14"/>
  <c r="H1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<sst xmlns="http://schemas.openxmlformats.org/spreadsheetml/2006/main" count="2476" uniqueCount="902">
  <si>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</si>
  <si>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</si>
  <si>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</si>
  <si>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</si>
  <si>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</si>
  <si>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</si>
  <si>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</si>
  <si>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</si>
  <si>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</si>
  <si>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</si>
  <si>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</si>
  <si>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</si>
  <si>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</si>
  <si>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</si>
  <si>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</si>
  <si>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</si>
  <si>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</si>
  <si>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</si>
  <si>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</si>
  <si>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</si>
  <si>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</si>
  <si>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</si>
  <si>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</si>
  <si>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</si>
  <si>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</si>
  <si>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</si>
  <si>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</si>
  <si>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</si>
  <si>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</si>
  <si>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</si>
  <si>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</si>
  <si>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</si>
  <si>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</si>
  <si>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</si>
  <si>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</si>
  <si>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</si>
  <si>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</si>
  <si>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</si>
  <si>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</si>
  <si>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</si>
  <si>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</si>
  <si>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</si>
  <si>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</si>
  <si>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</si>
  <si>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</si>
  <si>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</si>
  <si>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</si>
  <si>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</si>
  <si>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</si>
  <si>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</si>
  <si>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</si>
  <si>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</si>
  <si>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</si>
  <si>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</si>
  <si>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</si>
  <si>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</si>
  <si>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</si>
  <si>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</si>
  <si>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</si>
  <si>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</si>
  <si>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</si>
  <si>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</si>
  <si>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</si>
  <si>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</si>
  <si>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</si>
  <si>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</si>
  <si>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</si>
  <si>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</si>
  <si>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</si>
  <si>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</si>
  <si>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</si>
  <si>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</si>
  <si>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</si>
  <si>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</si>
  <si>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</si>
  <si>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</si>
  <si>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</si>
  <si>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</si>
  <si>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</si>
  <si>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</si>
  <si>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</si>
  <si>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</si>
  <si>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</si>
  <si>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</si>
  <si>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</si>
  <si>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</si>
  <si>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</si>
  <si>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</si>
  <si>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</si>
  <si>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</si>
  <si>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</si>
  <si>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</si>
  <si>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</si>
  <si>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</si>
  <si>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</si>
  <si>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</si>
  <si>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</si>
  <si>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</si>
  <si>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</si>
  <si>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</si>
  <si>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</si>
  <si>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</si>
  <si>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</si>
  <si>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</si>
  <si>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</si>
  <si>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</si>
  <si>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</si>
  <si>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</si>
  <si>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</si>
  <si>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</si>
  <si>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</si>
  <si>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</si>
  <si>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</si>
  <si>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</si>
  <si>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</si>
  <si>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</si>
  <si>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</si>
  <si>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</si>
  <si>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</si>
  <si>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</si>
  <si>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</si>
  <si>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</si>
  <si>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</si>
  <si>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</si>
  <si>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</si>
  <si>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</si>
  <si>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</si>
  <si>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</si>
  <si>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</si>
  <si>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</si>
  <si>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</si>
  <si>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</si>
  <si>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</si>
  <si>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</si>
  <si>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</si>
  <si>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</si>
  <si>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</si>
  <si>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</si>
  <si>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</si>
  <si>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</si>
  <si>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</si>
  <si>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</si>
  <si>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</si>
  <si>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</si>
  <si>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</si>
  <si>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</si>
  <si>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</si>
  <si>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</si>
  <si>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</si>
  <si>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</si>
  <si>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</si>
  <si>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</si>
  <si>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</si>
  <si>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</si>
  <si>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</si>
  <si>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</si>
  <si>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</si>
  <si>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</si>
  <si>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</si>
  <si>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</si>
  <si>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</si>
  <si>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</si>
  <si>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</si>
  <si>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</si>
  <si>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</si>
  <si>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</si>
  <si>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</si>
  <si>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</si>
  <si>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</si>
  <si>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</si>
  <si>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</si>
  <si>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</si>
  <si>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</si>
  <si>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</si>
  <si>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</si>
  <si>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</si>
  <si>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</si>
  <si>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</si>
  <si>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</si>
  <si>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</si>
  <si>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</si>
  <si>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</si>
  <si>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</si>
  <si>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</si>
  <si>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</si>
  <si>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</si>
  <si>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</si>
  <si>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</si>
  <si>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</si>
  <si>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</si>
  <si>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</si>
  <si>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</si>
  <si>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</si>
  <si>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</si>
  <si>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</si>
  <si>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</si>
  <si>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</si>
  <si>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</si>
  <si>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</si>
  <si>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</si>
  <si>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</si>
  <si>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</si>
  <si>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</si>
  <si>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</si>
  <si>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</si>
  <si>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</si>
  <si>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</si>
  <si>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</si>
  <si>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</si>
  <si>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</si>
  <si>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</si>
  <si>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</si>
  <si>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</si>
  <si>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</si>
  <si>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</si>
  <si>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</si>
  <si>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</si>
  <si>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</si>
  <si>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</si>
  <si>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</si>
  <si>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</si>
  <si>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</si>
  <si>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</si>
  <si>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</si>
  <si>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</si>
  <si>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</si>
  <si>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</si>
  <si>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</si>
  <si>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</si>
  <si>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</si>
  <si>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</si>
  <si>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</si>
  <si>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</si>
  <si>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</si>
  <si>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</si>
  <si>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</si>
  <si>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</si>
  <si>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</si>
  <si>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</si>
  <si>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</si>
  <si>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</si>
  <si>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</si>
  <si>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</si>
  <si>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</si>
  <si>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</si>
  <si>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</si>
  <si>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</si>
  <si>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</si>
  <si>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</si>
  <si>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</si>
  <si>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</si>
  <si>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</si>
  <si>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</si>
  <si>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</si>
  <si>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</si>
  <si>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</si>
  <si>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</si>
  <si>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</si>
  <si>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</si>
  <si>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</si>
  <si>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</si>
  <si>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</si>
  <si>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</si>
  <si>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</si>
  <si>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</si>
  <si>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</si>
  <si>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</si>
  <si>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</si>
  <si>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</si>
  <si>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</si>
  <si>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</si>
  <si>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</si>
  <si>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</si>
  <si>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</si>
  <si>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</si>
  <si>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</si>
  <si>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</si>
  <si>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</si>
  <si>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</si>
  <si>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</si>
  <si>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</si>
  <si>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</si>
  <si>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</si>
  <si>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</si>
  <si>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</si>
  <si>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</si>
  <si>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</si>
  <si>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</si>
  <si>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</si>
  <si>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</si>
  <si>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</si>
  <si>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</si>
  <si>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</si>
  <si>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</si>
  <si>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</si>
  <si>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</si>
  <si>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</si>
  <si>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</si>
  <si>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</si>
  <si>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</si>
  <si>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</si>
  <si>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</si>
  <si>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</si>
  <si>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</si>
  <si>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</si>
  <si>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</si>
  <si>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</si>
  <si>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</si>
  <si>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</si>
  <si>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</si>
  <si>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</si>
  <si>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</si>
  <si>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</si>
  <si>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</si>
  <si>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</si>
  <si>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</si>
  <si>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</si>
  <si>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</si>
  <si>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</si>
  <si>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</si>
  <si>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</si>
  <si>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</si>
  <si>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</si>
  <si>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</si>
  <si>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</si>
  <si>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</si>
  <si>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</si>
  <si>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</si>
  <si>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</si>
  <si>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</si>
  <si>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</si>
  <si>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</si>
  <si>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</si>
  <si>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</si>
  <si>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</si>
  <si>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</si>
  <si>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</si>
  <si>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</si>
  <si>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</si>
  <si>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</si>
  <si>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</si>
  <si>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</si>
  <si>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</si>
  <si>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</si>
  <si>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</si>
  <si>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</si>
  <si>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</si>
  <si>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</si>
  <si>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</si>
  <si>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</si>
  <si>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</si>
  <si>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</si>
  <si>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</si>
  <si>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</si>
  <si>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</si>
  <si>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</si>
  <si>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</si>
  <si>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</si>
  <si>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</si>
  <si>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</si>
  <si>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</si>
  <si>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</si>
  <si>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</si>
  <si>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</si>
  <si>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</si>
  <si>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</si>
  <si>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</si>
  <si>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</si>
  <si>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</si>
  <si>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</si>
  <si>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</si>
  <si>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</si>
  <si>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</si>
  <si>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</si>
  <si>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</si>
  <si>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</si>
  <si>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</si>
  <si>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</si>
  <si>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</si>
  <si>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</si>
  <si>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</si>
  <si>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</si>
  <si>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</si>
  <si>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</si>
  <si>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</si>
  <si>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</si>
  <si>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</si>
  <si>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</si>
  <si>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</si>
  <si>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</si>
  <si>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</si>
  <si>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</si>
  <si>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</si>
  <si>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</si>
  <si>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</si>
  <si>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</si>
  <si>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</si>
  <si>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</si>
  <si>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</si>
  <si>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</si>
  <si>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</si>
  <si>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</si>
  <si>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</si>
  <si>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</si>
  <si>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</si>
  <si>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</si>
  <si>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</si>
  <si>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</si>
  <si>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</si>
  <si>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</si>
  <si>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</si>
  <si>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</si>
  <si>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</si>
  <si>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</si>
  <si>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</si>
  <si>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</si>
  <si>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</si>
  <si>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</si>
  <si>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</si>
  <si>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</si>
  <si>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</si>
  <si>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</si>
  <si>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</si>
  <si>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</si>
  <si>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</si>
  <si>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</si>
  <si>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</si>
  <si>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</si>
  <si>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</si>
  <si>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</si>
  <si>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</si>
  <si>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</si>
  <si>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</si>
  <si>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</si>
  <si>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</si>
  <si>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</si>
  <si>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</si>
  <si>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</si>
  <si>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</si>
  <si>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</si>
  <si>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</si>
  <si>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</si>
  <si>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</si>
  <si>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</si>
  <si>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</si>
  <si>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</si>
  <si>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</si>
  <si>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</si>
  <si>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</si>
  <si>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</si>
  <si>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</si>
  <si>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</si>
  <si>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</si>
  <si>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</si>
  <si>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</si>
  <si>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</si>
  <si>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</si>
  <si>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</si>
  <si>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</si>
  <si>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</si>
  <si>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</si>
  <si>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</si>
  <si>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</si>
  <si>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</si>
  <si>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</si>
  <si>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</si>
  <si>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</si>
  <si>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</si>
  <si>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</si>
  <si>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</si>
  <si>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</si>
  <si>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</si>
  <si>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</si>
  <si>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</si>
  <si>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</si>
  <si>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</si>
  <si>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</si>
  <si>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</si>
  <si>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</si>
  <si>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</si>
  <si>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</si>
  <si>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</si>
  <si>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</si>
  <si>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</si>
  <si>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</si>
  <si>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</si>
  <si>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</si>
  <si>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</si>
  <si>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</si>
  <si>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</si>
  <si>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</si>
  <si>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</si>
  <si>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</si>
  <si>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</si>
  <si>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</si>
  <si>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</si>
  <si>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</si>
  <si>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</si>
  <si>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</si>
  <si>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</si>
  <si>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</si>
  <si>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</si>
  <si>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</si>
  <si>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</si>
  <si>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</si>
  <si>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</si>
  <si>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</si>
  <si>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</si>
  <si>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</si>
  <si>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</si>
  <si>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</si>
  <si>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</si>
  <si>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</si>
  <si>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</si>
  <si>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</si>
  <si>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</si>
  <si>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</si>
  <si>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</si>
  <si>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</si>
  <si>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</si>
  <si>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</si>
  <si>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</si>
  <si>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</si>
  <si>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</si>
  <si>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</si>
  <si>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</si>
  <si>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</si>
  <si>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</si>
  <si>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</si>
  <si>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</si>
  <si>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</si>
  <si>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</si>
  <si>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</si>
  <si>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</si>
  <si>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</si>
  <si>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</si>
  <si>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</si>
  <si>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</si>
  <si>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</si>
  <si>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</si>
  <si>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</si>
  <si>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</si>
  <si>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</si>
  <si>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</si>
  <si>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</si>
  <si>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</si>
  <si>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</si>
  <si>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</si>
  <si>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</si>
  <si>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</si>
  <si>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</si>
  <si>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</si>
  <si>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</si>
  <si>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</si>
  <si>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</si>
  <si>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</si>
  <si>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</si>
  <si>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</si>
  <si>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</si>
  <si>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</si>
  <si>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</si>
  <si>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</si>
  <si>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</si>
  <si>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</si>
  <si>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</si>
  <si>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</si>
  <si>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</si>
  <si>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</si>
  <si>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</si>
  <si>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</si>
  <si>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</si>
  <si>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</si>
  <si>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</si>
  <si>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</si>
  <si>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</si>
  <si>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</si>
  <si>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</si>
  <si>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</si>
  <si>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</si>
  <si>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</si>
  <si>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</si>
  <si>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</si>
  <si>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</si>
  <si>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</si>
  <si>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</si>
  <si>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</si>
  <si>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</si>
  <si>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</si>
  <si>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</si>
  <si>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</si>
  <si>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</si>
  <si>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</si>
  <si>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</si>
  <si>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</si>
  <si>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</si>
  <si>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</si>
  <si>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</si>
  <si>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</si>
  <si>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</si>
  <si>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</si>
  <si>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</si>
  <si>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</si>
  <si>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</si>
  <si>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</si>
  <si>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</si>
  <si>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</si>
  <si>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</si>
  <si>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</si>
  <si>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</si>
  <si>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</si>
  <si>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</si>
  <si>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</si>
  <si>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</si>
  <si>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</si>
  <si>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</si>
  <si>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</si>
  <si>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</si>
  <si>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</si>
  <si>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</si>
  <si>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</si>
  <si>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</si>
  <si>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</si>
  <si>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</si>
  <si>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</si>
  <si>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</si>
  <si>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</si>
  <si>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</si>
  <si>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</si>
  <si>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</si>
  <si>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</si>
  <si>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</si>
  <si>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</si>
  <si>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</si>
  <si>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</si>
  <si>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</si>
  <si>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</si>
  <si>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</si>
  <si>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</si>
  <si>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</si>
  <si>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</si>
  <si>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</si>
  <si>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</si>
  <si>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</si>
  <si>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</si>
  <si>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</si>
  <si>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</si>
  <si>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</si>
  <si>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</si>
  <si>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</si>
  <si>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</si>
  <si>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</si>
  <si>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</si>
  <si>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</si>
  <si>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</si>
  <si>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</si>
  <si>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</si>
  <si>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</si>
  <si>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</si>
  <si>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</si>
  <si>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</si>
  <si>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</si>
  <si>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</si>
  <si>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</si>
  <si>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</si>
  <si>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</si>
  <si>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</si>
  <si>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</si>
  <si>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</si>
  <si>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</si>
  <si>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</si>
  <si>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</si>
  <si>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</si>
  <si>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</si>
  <si>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</si>
  <si>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</si>
  <si>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</si>
  <si>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</si>
  <si>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</si>
  <si>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</si>
  <si>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</si>
  <si>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</si>
  <si>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</si>
  <si>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</si>
  <si>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</si>
  <si>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</si>
  <si>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</si>
  <si>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</si>
  <si>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</si>
  <si>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</si>
  <si>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</si>
  <si>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</si>
  <si>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</si>
  <si>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</si>
  <si>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</si>
  <si>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</si>
  <si>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</si>
  <si>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</si>
  <si>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</si>
  <si>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</si>
  <si>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</si>
  <si>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</si>
  <si>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</si>
  <si>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</si>
  <si>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</si>
  <si>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</si>
  <si>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</si>
  <si>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</si>
  <si>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</si>
  <si>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</si>
  <si>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</si>
  <si>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</si>
  <si>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</si>
  <si>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</si>
  <si>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</si>
  <si>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</si>
  <si>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</si>
  <si>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</si>
  <si>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</si>
  <si>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</si>
  <si>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</si>
  <si>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</si>
  <si>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</si>
  <si>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</si>
  <si>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</si>
  <si>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</si>
  <si>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</si>
  <si>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</si>
  <si>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</si>
  <si>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</si>
  <si>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</si>
  <si>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</si>
  <si>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</si>
  <si>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</si>
  <si>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</si>
  <si>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</si>
  <si>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</si>
  <si>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</si>
  <si>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</si>
  <si>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</si>
  <si>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</si>
  <si>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</si>
  <si>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</si>
  <si>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</si>
  <si>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</si>
  <si>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</si>
  <si>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</si>
  <si>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</si>
  <si>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</si>
  <si>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</si>
  <si>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</si>
  <si>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</si>
  <si>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</si>
  <si>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</si>
  <si>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</si>
  <si>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</si>
  <si>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</si>
  <si>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</si>
  <si>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</si>
  <si>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</si>
  <si>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</si>
  <si>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</si>
  <si>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</si>
  <si>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</si>
  <si>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</si>
  <si>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</si>
  <si>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</si>
  <si>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</si>
  <si>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</si>
  <si>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</si>
  <si>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</si>
  <si>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</si>
  <si>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</si>
  <si>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</si>
  <si>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</si>
  <si>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</si>
  <si>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</si>
  <si>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</si>
  <si>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</si>
  <si>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</si>
  <si>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</si>
  <si>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</si>
  <si>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</si>
  <si>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</si>
  <si>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</si>
  <si>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</si>
  <si>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</si>
  <si>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</si>
  <si>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</si>
  <si>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</si>
  <si>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</si>
  <si>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</si>
  <si>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</si>
  <si>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</si>
  <si>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</si>
  <si>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</si>
  <si>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</si>
  <si>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</si>
  <si>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</si>
  <si>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</si>
  <si>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</si>
  <si>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</si>
  <si>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</si>
  <si>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</si>
  <si>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</si>
  <si>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</si>
  <si>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</si>
  <si>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</si>
  <si>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</si>
  <si>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</si>
  <si>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</si>
  <si>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</si>
  <si>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</si>
  <si>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</si>
  <si>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</si>
  <si>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</si>
  <si>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</si>
  <si>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</si>
  <si>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</si>
  <si>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</si>
  <si>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</si>
  <si>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</si>
  <si>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</si>
  <si>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</si>
  <si>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</si>
  <si>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</si>
  <si>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</si>
  <si>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</si>
  <si>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</si>
  <si>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</si>
  <si>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</si>
  <si>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</si>
  <si>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</si>
  <si>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</si>
  <si>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</si>
  <si>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</si>
  <si>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</si>
  <si>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</si>
  <si>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</si>
  <si>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</si>
  <si>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</si>
  <si>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</si>
  <si>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</si>
  <si>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</si>
  <si>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</si>
  <si>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</si>
  <si>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</si>
  <si>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</si>
  <si>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</si>
  <si>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</si>
  <si>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</si>
  <si>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</si>
  <si>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</si>
  <si>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</si>
  <si>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</si>
  <si>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</si>
  <si>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</si>
  <si>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</si>
  <si>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</si>
  <si>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</si>
  <si>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</si>
  <si>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</si>
  <si>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</si>
  <si>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</si>
  <si>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</si>
  <si>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</si>
  <si>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</si>
  <si>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</si>
  <si>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</si>
  <si>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</si>
  <si>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</si>
  <si>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</si>
  <si>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</si>
  <si>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</si>
  <si>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</si>
  <si>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</si>
  <si>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</si>
  <si>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</si>
  <si>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</si>
  <si>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</si>
  <si>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</si>
  <si>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</si>
  <si>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</si>
  <si>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</si>
  <si>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</si>
  <si>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</si>
  <si>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</si>
  <si>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</si>
  <si>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</si>
  <si>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</si>
  <si>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</si>
  <si>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</si>
  <si>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</si>
  <si>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</si>
  <si>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</si>
  <si>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</si>
  <si>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</si>
  <si>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</si>
  <si>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</si>
  <si>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23103</t>
  </si>
  <si>
    <t>WEZEMBEEK-OPPEM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</si>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</sst>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137482.34979618795</c:v>
                </c:pt>
                <c:pt idx="1">
                  <c:v>29162.649503444249</c:v>
                </c:pt>
                <c:pt idx="2">
                  <c:v>992.84799999999996</c:v>
                </c:pt>
                <c:pt idx="3">
                  <c:v>533.35888738009498</c:v>
                </c:pt>
                <c:pt idx="4">
                  <c:v>1659.5433395351579</c:v>
                </c:pt>
                <c:pt idx="5">
                  <c:v>98984.285198783546</c:v>
                </c:pt>
                <c:pt idx="6">
                  <c:v>588.72056038098071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137482.34979618795</c:v>
                </c:pt>
                <c:pt idx="1">
                  <c:v>29162.649503444249</c:v>
                </c:pt>
                <c:pt idx="2">
                  <c:v>992.84799999999996</c:v>
                </c:pt>
                <c:pt idx="3">
                  <c:v>533.35888738009498</c:v>
                </c:pt>
                <c:pt idx="4">
                  <c:v>1659.5433395351579</c:v>
                </c:pt>
                <c:pt idx="5">
                  <c:v>98984.285198783546</c:v>
                </c:pt>
                <c:pt idx="6">
                  <c:v>588.72056038098071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27790.883265423887</c:v>
                </c:pt>
                <c:pt idx="2">
                  <c:v>5988.4750069605443</c:v>
                </c:pt>
                <c:pt idx="3">
                  <c:v>214.45246574327635</c:v>
                </c:pt>
                <c:pt idx="4">
                  <c:v>135.97081301458064</c:v>
                </c:pt>
                <c:pt idx="5">
                  <c:v>349.79377535818332</c:v>
                </c:pt>
                <c:pt idx="6">
                  <c:v>24780.914440455937</c:v>
                </c:pt>
                <c:pt idx="7">
                  <c:v>148.4153518218333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27790.883265423887</c:v>
                </c:pt>
                <c:pt idx="2">
                  <c:v>5988.4750069605443</c:v>
                </c:pt>
                <c:pt idx="3">
                  <c:v>214.45246574327635</c:v>
                </c:pt>
                <c:pt idx="4">
                  <c:v>135.97081301458064</c:v>
                </c:pt>
                <c:pt idx="5">
                  <c:v>349.79377535818332</c:v>
                </c:pt>
                <c:pt idx="6">
                  <c:v>24780.914440455937</c:v>
                </c:pt>
                <c:pt idx="7">
                  <c:v>148.4153518218333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23103</v>
      </c>
      <c r="B6" s="384"/>
      <c r="C6" s="385"/>
    </row>
    <row r="7" spans="1:7" s="382" customFormat="1" ht="15.75" customHeight="1">
      <c r="A7" s="386" t="str">
        <f>txtMunicipality</f>
        <v>WEZEMBEEK-OPPEM</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9459.6836496561154</v>
      </c>
      <c r="D10" s="973">
        <f ca="1">tertiair!C16</f>
        <v>0</v>
      </c>
      <c r="E10" s="973">
        <f ca="1">tertiair!D16</f>
        <v>18583.722750338318</v>
      </c>
      <c r="F10" s="973">
        <f>tertiair!E16</f>
        <v>96.893815464152325</v>
      </c>
      <c r="G10" s="973">
        <f ca="1">tertiair!F16</f>
        <v>1437.2643850861689</v>
      </c>
      <c r="H10" s="973">
        <f>tertiair!G16</f>
        <v>0</v>
      </c>
      <c r="I10" s="973">
        <f>tertiair!H16</f>
        <v>0</v>
      </c>
      <c r="J10" s="973">
        <f>tertiair!I16</f>
        <v>0</v>
      </c>
      <c r="K10" s="973">
        <f>tertiair!J16</f>
        <v>1.4317839150135268E-2</v>
      </c>
      <c r="L10" s="973">
        <f>tertiair!K16</f>
        <v>0</v>
      </c>
      <c r="M10" s="973">
        <f ca="1">tertiair!L16</f>
        <v>0</v>
      </c>
      <c r="N10" s="973">
        <f>tertiair!M16</f>
        <v>0</v>
      </c>
      <c r="O10" s="973">
        <f ca="1">tertiair!N16</f>
        <v>577.91858506034077</v>
      </c>
      <c r="P10" s="973">
        <f>tertiair!O16</f>
        <v>0</v>
      </c>
      <c r="Q10" s="974">
        <f>tertiair!P16</f>
        <v>0</v>
      </c>
      <c r="R10" s="668">
        <f ca="1">SUM(C10:Q10)</f>
        <v>30155.497503444247</v>
      </c>
      <c r="S10" s="67"/>
    </row>
    <row r="11" spans="1:19" s="441" customFormat="1">
      <c r="A11" s="777" t="s">
        <v>219</v>
      </c>
      <c r="B11" s="782"/>
      <c r="C11" s="973">
        <f>huishoudens!B8</f>
        <v>21454.53248421173</v>
      </c>
      <c r="D11" s="973">
        <f>huishoudens!C8</f>
        <v>0</v>
      </c>
      <c r="E11" s="973">
        <f>huishoudens!D8</f>
        <v>86933.132613671085</v>
      </c>
      <c r="F11" s="973">
        <f>huishoudens!E8</f>
        <v>795.51908606015468</v>
      </c>
      <c r="G11" s="973">
        <f>huishoudens!F8</f>
        <v>20154.88771132383</v>
      </c>
      <c r="H11" s="973">
        <f>huishoudens!G8</f>
        <v>0</v>
      </c>
      <c r="I11" s="973">
        <f>huishoudens!H8</f>
        <v>0</v>
      </c>
      <c r="J11" s="973">
        <f>huishoudens!I8</f>
        <v>0</v>
      </c>
      <c r="K11" s="973">
        <f>huishoudens!J8</f>
        <v>96.983058465800127</v>
      </c>
      <c r="L11" s="973">
        <f>huishoudens!K8</f>
        <v>0</v>
      </c>
      <c r="M11" s="973">
        <f>huishoudens!L8</f>
        <v>0</v>
      </c>
      <c r="N11" s="973">
        <f>huishoudens!M8</f>
        <v>0</v>
      </c>
      <c r="O11" s="973">
        <f>huishoudens!N8</f>
        <v>7560.911509122021</v>
      </c>
      <c r="P11" s="973">
        <f>huishoudens!O8</f>
        <v>85.983333333333334</v>
      </c>
      <c r="Q11" s="974">
        <f>huishoudens!P8</f>
        <v>400.4</v>
      </c>
      <c r="R11" s="668">
        <f>SUM(C11:Q11)</f>
        <v>137482.34979618795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417.05852946409595</v>
      </c>
      <c r="D13" s="973">
        <f>industrie!C18</f>
        <v>0</v>
      </c>
      <c r="E13" s="973">
        <f>industrie!D18</f>
        <v>960.92505779148382</v>
      </c>
      <c r="F13" s="973">
        <f>industrie!E18</f>
        <v>64.712512589525502</v>
      </c>
      <c r="G13" s="973">
        <f>industrie!F18</f>
        <v>190.17609430220412</v>
      </c>
      <c r="H13" s="973">
        <f>industrie!G18</f>
        <v>0</v>
      </c>
      <c r="I13" s="973">
        <f>industrie!H18</f>
        <v>0</v>
      </c>
      <c r="J13" s="973">
        <f>industrie!I18</f>
        <v>0</v>
      </c>
      <c r="K13" s="973">
        <f>industrie!J18</f>
        <v>0.38601384498418767</v>
      </c>
      <c r="L13" s="973">
        <f>industrie!K18</f>
        <v>0</v>
      </c>
      <c r="M13" s="973">
        <f>industrie!L18</f>
        <v>0</v>
      </c>
      <c r="N13" s="973">
        <f>industrie!M18</f>
        <v>0</v>
      </c>
      <c r="O13" s="973">
        <f>industrie!N18</f>
        <v>26.285131542864377</v>
      </c>
      <c r="P13" s="973">
        <f>industrie!O18</f>
        <v>0</v>
      </c>
      <c r="Q13" s="974">
        <f>industrie!P18</f>
        <v>0</v>
      </c>
      <c r="R13" s="668">
        <f>SUM(C13:Q13)</f>
        <v>1659.5433395351579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31331.27466333194</v>
      </c>
      <c r="D16" s="700">
        <f t="shared" ref="D16:R16" ca="1" si="0">SUM(D9:D15)</f>
        <v>0</v>
      </c>
      <c r="E16" s="700">
        <f t="shared" ca="1" si="0"/>
        <v>106477.78042180088</v>
      </c>
      <c r="F16" s="700">
        <f t="shared" si="0"/>
        <v>957.12541411383256</v>
      </c>
      <c r="G16" s="700">
        <f t="shared" ca="1" si="0"/>
        <v>21782.328190712204</v>
      </c>
      <c r="H16" s="700">
        <f t="shared" si="0"/>
        <v>0</v>
      </c>
      <c r="I16" s="700">
        <f t="shared" si="0"/>
        <v>0</v>
      </c>
      <c r="J16" s="700">
        <f t="shared" si="0"/>
        <v>0</v>
      </c>
      <c r="K16" s="700">
        <f t="shared" si="0"/>
        <v>97.383390149934456</v>
      </c>
      <c r="L16" s="700">
        <f t="shared" si="0"/>
        <v>0</v>
      </c>
      <c r="M16" s="700">
        <f t="shared" ca="1" si="0"/>
        <v>0</v>
      </c>
      <c r="N16" s="700">
        <f t="shared" si="0"/>
        <v>0</v>
      </c>
      <c r="O16" s="700">
        <f t="shared" ca="1" si="0"/>
        <v>8165.1152257252261</v>
      </c>
      <c r="P16" s="700">
        <f t="shared" si="0"/>
        <v>85.983333333333334</v>
      </c>
      <c r="Q16" s="700">
        <f t="shared" si="0"/>
        <v>400.4</v>
      </c>
      <c r="R16" s="700">
        <f t="shared" ca="1" si="0"/>
        <v>169297.39063916737</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5.8666838898886073</v>
      </c>
      <c r="D19" s="973">
        <f>transport!C54</f>
        <v>0</v>
      </c>
      <c r="E19" s="973">
        <f>transport!D54</f>
        <v>0</v>
      </c>
      <c r="F19" s="973">
        <f>transport!E54</f>
        <v>0</v>
      </c>
      <c r="G19" s="973">
        <f>transport!F54</f>
        <v>0</v>
      </c>
      <c r="H19" s="973">
        <f>transport!G54</f>
        <v>551.11671935993547</v>
      </c>
      <c r="I19" s="973">
        <f>transport!H54</f>
        <v>0</v>
      </c>
      <c r="J19" s="973">
        <f>transport!I54</f>
        <v>0</v>
      </c>
      <c r="K19" s="973">
        <f>transport!J54</f>
        <v>0</v>
      </c>
      <c r="L19" s="973">
        <f>transport!K54</f>
        <v>0</v>
      </c>
      <c r="M19" s="973">
        <f>transport!L54</f>
        <v>0</v>
      </c>
      <c r="N19" s="973">
        <f>transport!M54</f>
        <v>31.737157131156625</v>
      </c>
      <c r="O19" s="973">
        <f>transport!N54</f>
        <v>0</v>
      </c>
      <c r="P19" s="973">
        <f>transport!O54</f>
        <v>0</v>
      </c>
      <c r="Q19" s="974">
        <f>transport!P54</f>
        <v>0</v>
      </c>
      <c r="R19" s="668">
        <f>SUM(C19:Q19)</f>
        <v>588.72056038098071</v>
      </c>
      <c r="S19" s="67"/>
    </row>
    <row r="20" spans="1:19" s="441" customFormat="1">
      <c r="A20" s="777" t="s">
        <v>301</v>
      </c>
      <c r="B20" s="782"/>
      <c r="C20" s="973">
        <f>transport!B14</f>
        <v>66.020105395166212</v>
      </c>
      <c r="D20" s="973">
        <f>transport!C14</f>
        <v>0</v>
      </c>
      <c r="E20" s="973">
        <f>transport!D14</f>
        <v>99.987392140613338</v>
      </c>
      <c r="F20" s="973">
        <f>transport!E14</f>
        <v>198.31358173146145</v>
      </c>
      <c r="G20" s="973">
        <f>transport!F14</f>
        <v>0</v>
      </c>
      <c r="H20" s="973">
        <f>transport!G14</f>
        <v>77107.326239644652</v>
      </c>
      <c r="I20" s="973">
        <f>transport!H14</f>
        <v>16521.219016579995</v>
      </c>
      <c r="J20" s="973">
        <f>transport!I14</f>
        <v>0</v>
      </c>
      <c r="K20" s="973">
        <f>transport!J14</f>
        <v>0</v>
      </c>
      <c r="L20" s="973">
        <f>transport!K14</f>
        <v>0</v>
      </c>
      <c r="M20" s="973">
        <f>transport!L14</f>
        <v>0</v>
      </c>
      <c r="N20" s="973">
        <f>transport!M14</f>
        <v>4991.4188632916503</v>
      </c>
      <c r="O20" s="973">
        <f>transport!N14</f>
        <v>0</v>
      </c>
      <c r="P20" s="973">
        <f>transport!O14</f>
        <v>0</v>
      </c>
      <c r="Q20" s="974">
        <f>transport!P14</f>
        <v>0</v>
      </c>
      <c r="R20" s="668">
        <f>SUM(C20:Q20)</f>
        <v>98984.285198783546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71.886789285054817</v>
      </c>
      <c r="D22" s="780">
        <f t="shared" ref="D22:R22" si="1">SUM(D18:D21)</f>
        <v>0</v>
      </c>
      <c r="E22" s="780">
        <f t="shared" si="1"/>
        <v>99.987392140613338</v>
      </c>
      <c r="F22" s="780">
        <f t="shared" si="1"/>
        <v>198.31358173146145</v>
      </c>
      <c r="G22" s="780">
        <f t="shared" si="1"/>
        <v>0</v>
      </c>
      <c r="H22" s="780">
        <f t="shared" si="1"/>
        <v>77658.442959004591</v>
      </c>
      <c r="I22" s="780">
        <f t="shared" si="1"/>
        <v>16521.219016579995</v>
      </c>
      <c r="J22" s="780">
        <f t="shared" si="1"/>
        <v>0</v>
      </c>
      <c r="K22" s="780">
        <f t="shared" si="1"/>
        <v>0</v>
      </c>
      <c r="L22" s="780">
        <f t="shared" si="1"/>
        <v>0</v>
      </c>
      <c r="M22" s="780">
        <f t="shared" si="1"/>
        <v>0</v>
      </c>
      <c r="N22" s="780">
        <f t="shared" si="1"/>
        <v>5023.1560204228072</v>
      </c>
      <c r="O22" s="780">
        <f t="shared" si="1"/>
        <v>0</v>
      </c>
      <c r="P22" s="780">
        <f t="shared" si="1"/>
        <v>0</v>
      </c>
      <c r="Q22" s="780">
        <f t="shared" si="1"/>
        <v>0</v>
      </c>
      <c r="R22" s="780">
        <f t="shared" si="1"/>
        <v>99573.005759164531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91.800435764051997</v>
      </c>
      <c r="D24" s="973">
        <f>+landbouw!C8</f>
        <v>0</v>
      </c>
      <c r="E24" s="973">
        <f>+landbouw!D8</f>
        <v>43.124589954893061</v>
      </c>
      <c r="F24" s="973">
        <f>+landbouw!E8</f>
        <v>2.6982951979994492</v>
      </c>
      <c r="G24" s="973">
        <f>+landbouw!F8</f>
        <v>382.4356547578642</v>
      </c>
      <c r="H24" s="973">
        <f>+landbouw!G8</f>
        <v>0</v>
      </c>
      <c r="I24" s="973">
        <f>+landbouw!H8</f>
        <v>0</v>
      </c>
      <c r="J24" s="973">
        <f>+landbouw!I8</f>
        <v>0</v>
      </c>
      <c r="K24" s="973">
        <f>+landbouw!J8</f>
        <v>13.299911705286288</v>
      </c>
      <c r="L24" s="973">
        <f>+landbouw!K8</f>
        <v>0</v>
      </c>
      <c r="M24" s="973">
        <f>+landbouw!L8</f>
        <v>0</v>
      </c>
      <c r="N24" s="973">
        <f>+landbouw!M8</f>
        <v>0</v>
      </c>
      <c r="O24" s="973">
        <f>+landbouw!N8</f>
        <v>0</v>
      </c>
      <c r="P24" s="973">
        <f>+landbouw!O8</f>
        <v>0</v>
      </c>
      <c r="Q24" s="974">
        <f>+landbouw!P8</f>
        <v>0</v>
      </c>
      <c r="R24" s="668">
        <f>SUM(C24:Q24)</f>
        <v>533.35888738009498</v>
      </c>
      <c r="S24" s="67"/>
    </row>
    <row r="25" spans="1:19" s="441" customFormat="1" ht="15" thickBot="1">
      <c r="A25" s="799" t="s">
        <v>808</v>
      </c>
      <c r="B25" s="976"/>
      <c r="C25" s="977">
        <f>IF(Onbekend_ele_kWh="---",0,Onbekend_ele_kWh)/1000+IF(REST_rest_ele_kWh="---",0,REST_rest_ele_kWh)/1000</f>
        <v>795.26722635267106</v>
      </c>
      <c r="D25" s="977"/>
      <c r="E25" s="977">
        <f>IF(onbekend_gas_kWh="---",0,onbekend_gas_kWh)/1000+IF(REST_rest_gas_kWh="---",0,REST_rest_gas_kWh)/1000</f>
        <v>2859.9598140572302</v>
      </c>
      <c r="F25" s="977"/>
      <c r="G25" s="977"/>
      <c r="H25" s="977"/>
      <c r="I25" s="977"/>
      <c r="J25" s="977"/>
      <c r="K25" s="977"/>
      <c r="L25" s="977"/>
      <c r="M25" s="977"/>
      <c r="N25" s="977"/>
      <c r="O25" s="977"/>
      <c r="P25" s="977"/>
      <c r="Q25" s="978"/>
      <c r="R25" s="668">
        <f>SUM(C25:Q25)</f>
        <v>3655.2270404099013</v>
      </c>
      <c r="S25" s="67"/>
    </row>
    <row r="26" spans="1:19" s="441" customFormat="1" ht="15.75" thickBot="1">
      <c r="A26" s="673" t="s">
        <v>809</v>
      </c>
      <c r="B26" s="785"/>
      <c r="C26" s="780">
        <f>SUM(C24:C25)</f>
        <v>887.06766211672311</v>
      </c>
      <c r="D26" s="780">
        <f t="shared" ref="D26:R26" si="2">SUM(D24:D25)</f>
        <v>0</v>
      </c>
      <c r="E26" s="780">
        <f t="shared" si="2"/>
        <v>2903.0844040121233</v>
      </c>
      <c r="F26" s="780">
        <f t="shared" si="2"/>
        <v>2.6982951979994492</v>
      </c>
      <c r="G26" s="780">
        <f t="shared" si="2"/>
        <v>382.4356547578642</v>
      </c>
      <c r="H26" s="780">
        <f t="shared" si="2"/>
        <v>0</v>
      </c>
      <c r="I26" s="780">
        <f t="shared" si="2"/>
        <v>0</v>
      </c>
      <c r="J26" s="780">
        <f t="shared" si="2"/>
        <v>0</v>
      </c>
      <c r="K26" s="780">
        <f t="shared" si="2"/>
        <v>13.299911705286288</v>
      </c>
      <c r="L26" s="780">
        <f t="shared" si="2"/>
        <v>0</v>
      </c>
      <c r="M26" s="780">
        <f t="shared" si="2"/>
        <v>0</v>
      </c>
      <c r="N26" s="780">
        <f t="shared" si="2"/>
        <v>0</v>
      </c>
      <c r="O26" s="780">
        <f t="shared" si="2"/>
        <v>0</v>
      </c>
      <c r="P26" s="780">
        <f t="shared" si="2"/>
        <v>0</v>
      </c>
      <c r="Q26" s="780">
        <f t="shared" si="2"/>
        <v>0</v>
      </c>
      <c r="R26" s="780">
        <f t="shared" si="2"/>
        <v>4188.5859277899963</v>
      </c>
      <c r="S26" s="67"/>
    </row>
    <row r="27" spans="1:19" s="441" customFormat="1" ht="17.25" thickTop="1" thickBot="1">
      <c r="A27" s="674" t="s">
        <v>115</v>
      </c>
      <c r="B27" s="773"/>
      <c r="C27" s="675">
        <f ca="1">C22+C16+C26</f>
        <v>32290.229114733716</v>
      </c>
      <c r="D27" s="675">
        <f t="shared" ref="D27:R27" ca="1" si="3">D22+D16+D26</f>
        <v>0</v>
      </c>
      <c r="E27" s="675">
        <f t="shared" ca="1" si="3"/>
        <v>109480.85221795362</v>
      </c>
      <c r="F27" s="675">
        <f t="shared" si="3"/>
        <v>1158.1372910432933</v>
      </c>
      <c r="G27" s="675">
        <f t="shared" ca="1" si="3"/>
        <v>22164.763845470068</v>
      </c>
      <c r="H27" s="675">
        <f t="shared" si="3"/>
        <v>77658.442959004591</v>
      </c>
      <c r="I27" s="675">
        <f t="shared" si="3"/>
        <v>16521.219016579995</v>
      </c>
      <c r="J27" s="675">
        <f t="shared" si="3"/>
        <v>0</v>
      </c>
      <c r="K27" s="675">
        <f t="shared" si="3"/>
        <v>110.68330185522075</v>
      </c>
      <c r="L27" s="675">
        <f t="shared" si="3"/>
        <v>0</v>
      </c>
      <c r="M27" s="675">
        <f t="shared" ca="1" si="3"/>
        <v>0</v>
      </c>
      <c r="N27" s="675">
        <f t="shared" si="3"/>
        <v>5023.1560204228072</v>
      </c>
      <c r="O27" s="675">
        <f t="shared" ca="1" si="3"/>
        <v>8165.1152257252261</v>
      </c>
      <c r="P27" s="675">
        <f t="shared" si="3"/>
        <v>85.983333333333334</v>
      </c>
      <c r="Q27" s="675">
        <f t="shared" si="3"/>
        <v>400.4</v>
      </c>
      <c r="R27" s="675">
        <f t="shared" ca="1" si="3"/>
        <v>273058.98232612188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2043.2659216920513</v>
      </c>
      <c r="D40" s="973">
        <f ca="1">tertiair!C20</f>
        <v>0</v>
      </c>
      <c r="E40" s="973">
        <f ca="1">tertiair!D20</f>
        <v>3753.9119955683404</v>
      </c>
      <c r="F40" s="973">
        <f>tertiair!E20</f>
        <v>21.994896110362578</v>
      </c>
      <c r="G40" s="973">
        <f ca="1">tertiair!F20</f>
        <v>383.74959081800711</v>
      </c>
      <c r="H40" s="973">
        <f>tertiair!G20</f>
        <v>0</v>
      </c>
      <c r="I40" s="973">
        <f>tertiair!H20</f>
        <v>0</v>
      </c>
      <c r="J40" s="973">
        <f>tertiair!I20</f>
        <v>0</v>
      </c>
      <c r="K40" s="973">
        <f>tertiair!J20</f>
        <v>5.0685150591478845E-3</v>
      </c>
      <c r="L40" s="973">
        <f>tertiair!K20</f>
        <v>0</v>
      </c>
      <c r="M40" s="973">
        <f ca="1">tertiair!L20</f>
        <v>0</v>
      </c>
      <c r="N40" s="973">
        <f>tertiair!M20</f>
        <v>0</v>
      </c>
      <c r="O40" s="973">
        <f ca="1">tertiair!N20</f>
        <v>0</v>
      </c>
      <c r="P40" s="973">
        <f>tertiair!O20</f>
        <v>0</v>
      </c>
      <c r="Q40" s="742">
        <f>tertiair!P20</f>
        <v>0</v>
      </c>
      <c r="R40" s="818">
        <f t="shared" ca="1" si="4"/>
        <v>6202.927472703821</v>
      </c>
    </row>
    <row r="41" spans="1:18">
      <c r="A41" s="790" t="s">
        <v>219</v>
      </c>
      <c r="B41" s="797"/>
      <c r="C41" s="973">
        <f ca="1">huishoudens!B12</f>
        <v>4634.1206233063122</v>
      </c>
      <c r="D41" s="973">
        <f ca="1">huishoudens!C12</f>
        <v>0</v>
      </c>
      <c r="E41" s="973">
        <f>huishoudens!D12</f>
        <v>17560.492787961561</v>
      </c>
      <c r="F41" s="973">
        <f>huishoudens!E12</f>
        <v>180.58283253565511</v>
      </c>
      <c r="G41" s="973">
        <f>huishoudens!F12</f>
        <v>5381.3550189234629</v>
      </c>
      <c r="H41" s="973">
        <f>huishoudens!G12</f>
        <v>0</v>
      </c>
      <c r="I41" s="973">
        <f>huishoudens!H12</f>
        <v>0</v>
      </c>
      <c r="J41" s="973">
        <f>huishoudens!I12</f>
        <v>0</v>
      </c>
      <c r="K41" s="973">
        <f>huishoudens!J12</f>
        <v>34.332002696893241</v>
      </c>
      <c r="L41" s="973">
        <f>huishoudens!K12</f>
        <v>0</v>
      </c>
      <c r="M41" s="973">
        <f>huishoudens!L12</f>
        <v>0</v>
      </c>
      <c r="N41" s="973">
        <f>huishoudens!M12</f>
        <v>0</v>
      </c>
      <c r="O41" s="973">
        <f>huishoudens!N12</f>
        <v>0</v>
      </c>
      <c r="P41" s="973">
        <f>huishoudens!O12</f>
        <v>0</v>
      </c>
      <c r="Q41" s="742">
        <f>huishoudens!P12</f>
        <v>0</v>
      </c>
      <c r="R41" s="818">
        <f t="shared" ca="1" si="4"/>
        <v>27790.883265423887</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90.083507246668418</v>
      </c>
      <c r="D43" s="973">
        <f ca="1">industrie!C22</f>
        <v>0</v>
      </c>
      <c r="E43" s="973">
        <f>industrie!D22</f>
        <v>194.10686167387973</v>
      </c>
      <c r="F43" s="973">
        <f>industrie!E22</f>
        <v>14.68974035782229</v>
      </c>
      <c r="G43" s="973">
        <f>industrie!F22</f>
        <v>50.777017178688503</v>
      </c>
      <c r="H43" s="973">
        <f>industrie!G22</f>
        <v>0</v>
      </c>
      <c r="I43" s="973">
        <f>industrie!H22</f>
        <v>0</v>
      </c>
      <c r="J43" s="973">
        <f>industrie!I22</f>
        <v>0</v>
      </c>
      <c r="K43" s="973">
        <f>industrie!J22</f>
        <v>0.13664890112440242</v>
      </c>
      <c r="L43" s="973">
        <f>industrie!K22</f>
        <v>0</v>
      </c>
      <c r="M43" s="973">
        <f>industrie!L22</f>
        <v>0</v>
      </c>
      <c r="N43" s="973">
        <f>industrie!M22</f>
        <v>0</v>
      </c>
      <c r="O43" s="973">
        <f>industrie!N22</f>
        <v>0</v>
      </c>
      <c r="P43" s="973">
        <f>industrie!O22</f>
        <v>0</v>
      </c>
      <c r="Q43" s="742">
        <f>industrie!P22</f>
        <v>0</v>
      </c>
      <c r="R43" s="817">
        <f t="shared" ca="1" si="4"/>
        <v>349.79377535818332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6767.4700522450312</v>
      </c>
      <c r="D46" s="700">
        <f t="shared" ref="D46:Q46" ca="1" si="5">SUM(D39:D45)</f>
        <v>0</v>
      </c>
      <c r="E46" s="700">
        <f t="shared" ca="1" si="5"/>
        <v>21508.511645203784</v>
      </c>
      <c r="F46" s="700">
        <f t="shared" si="5"/>
        <v>217.26746900384001</v>
      </c>
      <c r="G46" s="700">
        <f t="shared" ca="1" si="5"/>
        <v>5815.8816269201589</v>
      </c>
      <c r="H46" s="700">
        <f t="shared" si="5"/>
        <v>0</v>
      </c>
      <c r="I46" s="700">
        <f t="shared" si="5"/>
        <v>0</v>
      </c>
      <c r="J46" s="700">
        <f t="shared" si="5"/>
        <v>0</v>
      </c>
      <c r="K46" s="700">
        <f t="shared" si="5"/>
        <v>34.473720113076794</v>
      </c>
      <c r="L46" s="700">
        <f t="shared" si="5"/>
        <v>0</v>
      </c>
      <c r="M46" s="700">
        <f t="shared" ca="1" si="5"/>
        <v>0</v>
      </c>
      <c r="N46" s="700">
        <f t="shared" si="5"/>
        <v>0</v>
      </c>
      <c r="O46" s="700">
        <f t="shared" ca="1" si="5"/>
        <v>0</v>
      </c>
      <c r="P46" s="700">
        <f t="shared" si="5"/>
        <v>0</v>
      </c>
      <c r="Q46" s="700">
        <f t="shared" si="5"/>
        <v>0</v>
      </c>
      <c r="R46" s="700">
        <f ca="1">SUM(R39:R45)</f>
        <v>34343.604513485894</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1.2671877527304964</v>
      </c>
      <c r="D49" s="973">
        <f ca="1">transport!C58</f>
        <v>0</v>
      </c>
      <c r="E49" s="973">
        <f>transport!D58</f>
        <v>0</v>
      </c>
      <c r="F49" s="973">
        <f>transport!E58</f>
        <v>0</v>
      </c>
      <c r="G49" s="973">
        <f>transport!F58</f>
        <v>0</v>
      </c>
      <c r="H49" s="973">
        <f>transport!G58</f>
        <v>147.14816406910279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148.4153518218333</v>
      </c>
    </row>
    <row r="50" spans="1:18">
      <c r="A50" s="793" t="s">
        <v>301</v>
      </c>
      <c r="B50" s="803"/>
      <c r="C50" s="671">
        <f ca="1">transport!B18</f>
        <v>14.260163076950729</v>
      </c>
      <c r="D50" s="671">
        <f>transport!C18</f>
        <v>0</v>
      </c>
      <c r="E50" s="671">
        <f>transport!D18</f>
        <v>20.197453212403897</v>
      </c>
      <c r="F50" s="671">
        <f>transport!E18</f>
        <v>45.017183053041748</v>
      </c>
      <c r="G50" s="671">
        <f>transport!F18</f>
        <v>0</v>
      </c>
      <c r="H50" s="671">
        <f>transport!G18</f>
        <v>20587.656105985123</v>
      </c>
      <c r="I50" s="671">
        <f>transport!H18</f>
        <v>4113.7835351284184</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24780.914440455937</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15.527350829681225</v>
      </c>
      <c r="D52" s="700">
        <f t="shared" ref="D52:Q52" ca="1" si="6">SUM(D48:D51)</f>
        <v>0</v>
      </c>
      <c r="E52" s="700">
        <f t="shared" si="6"/>
        <v>20.197453212403897</v>
      </c>
      <c r="F52" s="700">
        <f t="shared" si="6"/>
        <v>45.017183053041748</v>
      </c>
      <c r="G52" s="700">
        <f t="shared" si="6"/>
        <v>0</v>
      </c>
      <c r="H52" s="700">
        <f t="shared" si="6"/>
        <v>20734.804270054225</v>
      </c>
      <c r="I52" s="700">
        <f t="shared" si="6"/>
        <v>4113.7835351284184</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24929.329792277771</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19.828644269725277</v>
      </c>
      <c r="D54" s="671">
        <f ca="1">+landbouw!C12</f>
        <v>0</v>
      </c>
      <c r="E54" s="671">
        <f>+landbouw!D12</f>
        <v>8.7111671708883982</v>
      </c>
      <c r="F54" s="671">
        <f>+landbouw!E12</f>
        <v>0.61251300994587499</v>
      </c>
      <c r="G54" s="671">
        <f>+landbouw!F12</f>
        <v>102.11031982034974</v>
      </c>
      <c r="H54" s="671">
        <f>+landbouw!G12</f>
        <v>0</v>
      </c>
      <c r="I54" s="671">
        <f>+landbouw!H12</f>
        <v>0</v>
      </c>
      <c r="J54" s="671">
        <f>+landbouw!I12</f>
        <v>0</v>
      </c>
      <c r="K54" s="671">
        <f>+landbouw!J12</f>
        <v>4.7081687436713455</v>
      </c>
      <c r="L54" s="671">
        <f>+landbouw!K12</f>
        <v>0</v>
      </c>
      <c r="M54" s="671">
        <f>+landbouw!L12</f>
        <v>0</v>
      </c>
      <c r="N54" s="671">
        <f>+landbouw!M12</f>
        <v>0</v>
      </c>
      <c r="O54" s="671">
        <f>+landbouw!N12</f>
        <v>0</v>
      </c>
      <c r="P54" s="671">
        <f>+landbouw!O12</f>
        <v>0</v>
      </c>
      <c r="Q54" s="672">
        <f>+landbouw!P12</f>
        <v>0</v>
      </c>
      <c r="R54" s="699">
        <f ca="1">SUM(C54:Q54)</f>
        <v>135.97081301458064</v>
      </c>
    </row>
    <row r="55" spans="1:18" ht="15" thickBot="1">
      <c r="A55" s="793" t="s">
        <v>808</v>
      </c>
      <c r="B55" s="803"/>
      <c r="C55" s="671">
        <f ca="1">C25*'EF ele_warmte'!B12</f>
        <v>171.77555639548711</v>
      </c>
      <c r="D55" s="671"/>
      <c r="E55" s="671">
        <f>E25*EF_CO2_aardgas</f>
        <v>577.71188243956055</v>
      </c>
      <c r="F55" s="671"/>
      <c r="G55" s="671"/>
      <c r="H55" s="671"/>
      <c r="I55" s="671"/>
      <c r="J55" s="671"/>
      <c r="K55" s="671"/>
      <c r="L55" s="671"/>
      <c r="M55" s="671"/>
      <c r="N55" s="671"/>
      <c r="O55" s="671"/>
      <c r="P55" s="671"/>
      <c r="Q55" s="672"/>
      <c r="R55" s="699">
        <f ca="1">SUM(C55:Q55)</f>
        <v>749.48743883504767</v>
      </c>
    </row>
    <row r="56" spans="1:18" ht="15.75" thickBot="1">
      <c r="A56" s="791" t="s">
        <v>809</v>
      </c>
      <c r="B56" s="804"/>
      <c r="C56" s="700">
        <f ca="1">SUM(C54:C55)</f>
        <v>191.6042006652124</v>
      </c>
      <c r="D56" s="700">
        <f t="shared" ref="D56:Q56" ca="1" si="7">SUM(D54:D55)</f>
        <v>0</v>
      </c>
      <c r="E56" s="700">
        <f t="shared" si="7"/>
        <v>586.42304961044897</v>
      </c>
      <c r="F56" s="700">
        <f t="shared" si="7"/>
        <v>0.61251300994587499</v>
      </c>
      <c r="G56" s="700">
        <f t="shared" si="7"/>
        <v>102.11031982034974</v>
      </c>
      <c r="H56" s="700">
        <f t="shared" si="7"/>
        <v>0</v>
      </c>
      <c r="I56" s="700">
        <f t="shared" si="7"/>
        <v>0</v>
      </c>
      <c r="J56" s="700">
        <f t="shared" si="7"/>
        <v>0</v>
      </c>
      <c r="K56" s="700">
        <f t="shared" si="7"/>
        <v>4.7081687436713455</v>
      </c>
      <c r="L56" s="700">
        <f t="shared" si="7"/>
        <v>0</v>
      </c>
      <c r="M56" s="700">
        <f t="shared" si="7"/>
        <v>0</v>
      </c>
      <c r="N56" s="700">
        <f t="shared" si="7"/>
        <v>0</v>
      </c>
      <c r="O56" s="700">
        <f t="shared" si="7"/>
        <v>0</v>
      </c>
      <c r="P56" s="700">
        <f t="shared" si="7"/>
        <v>0</v>
      </c>
      <c r="Q56" s="701">
        <f t="shared" si="7"/>
        <v>0</v>
      </c>
      <c r="R56" s="702">
        <f ca="1">SUM(R54:R55)</f>
        <v>885.45825184962837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6974.6016037399249</v>
      </c>
      <c r="D61" s="708">
        <f t="shared" ref="D61:Q61" ca="1" si="8">D46+D52+D56</f>
        <v>0</v>
      </c>
      <c r="E61" s="708">
        <f t="shared" ca="1" si="8"/>
        <v>22115.132148026638</v>
      </c>
      <c r="F61" s="708">
        <f t="shared" si="8"/>
        <v>262.89716506682765</v>
      </c>
      <c r="G61" s="708">
        <f t="shared" ca="1" si="8"/>
        <v>5917.9919467405089</v>
      </c>
      <c r="H61" s="708">
        <f t="shared" si="8"/>
        <v>20734.804270054225</v>
      </c>
      <c r="I61" s="708">
        <f t="shared" si="8"/>
        <v>4113.7835351284184</v>
      </c>
      <c r="J61" s="708">
        <f t="shared" si="8"/>
        <v>0</v>
      </c>
      <c r="K61" s="708">
        <f t="shared" si="8"/>
        <v>39.181888856748138</v>
      </c>
      <c r="L61" s="708">
        <f t="shared" si="8"/>
        <v>0</v>
      </c>
      <c r="M61" s="708">
        <f t="shared" ca="1" si="8"/>
        <v>0</v>
      </c>
      <c r="N61" s="708">
        <f t="shared" si="8"/>
        <v>0</v>
      </c>
      <c r="O61" s="708">
        <f t="shared" ca="1" si="8"/>
        <v>0</v>
      </c>
      <c r="P61" s="708">
        <f t="shared" si="8"/>
        <v>0</v>
      </c>
      <c r="Q61" s="708">
        <f t="shared" si="8"/>
        <v>0</v>
      </c>
      <c r="R61" s="708">
        <f ca="1">R46+R52+R56</f>
        <v>60158.392557613297</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0.21599727827751716</v>
      </c>
      <c r="D63" s="749">
        <f t="shared" ca="1" si="9"/>
        <v>0</v>
      </c>
      <c r="E63" s="984">
        <f t="shared" ca="1" si="9"/>
        <v>0.20200000000000007</v>
      </c>
      <c r="F63" s="749">
        <f t="shared" si="9"/>
        <v>0.22700000000000006</v>
      </c>
      <c r="G63" s="749">
        <f t="shared" ca="1" si="9"/>
        <v>0.26700000000000002</v>
      </c>
      <c r="H63" s="749">
        <f t="shared" si="9"/>
        <v>0.26699999999999996</v>
      </c>
      <c r="I63" s="749">
        <f t="shared" si="9"/>
        <v>0.24899999999999997</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730.94583989242972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730.94583989242972</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21454.53248421173</v>
      </c>
      <c r="C4" s="445">
        <f>huishoudens!C8</f>
        <v>0</v>
      </c>
      <c r="D4" s="445">
        <f>huishoudens!D8</f>
        <v>86933.132613671085</v>
      </c>
      <c r="E4" s="445">
        <f>huishoudens!E8</f>
        <v>795.51908606015468</v>
      </c>
      <c r="F4" s="445">
        <f>huishoudens!F8</f>
        <v>20154.88771132383</v>
      </c>
      <c r="G4" s="445">
        <f>huishoudens!G8</f>
        <v>0</v>
      </c>
      <c r="H4" s="445">
        <f>huishoudens!H8</f>
        <v>0</v>
      </c>
      <c r="I4" s="445">
        <f>huishoudens!I8</f>
        <v>0</v>
      </c>
      <c r="J4" s="445">
        <f>huishoudens!J8</f>
        <v>96.983058465800127</v>
      </c>
      <c r="K4" s="445">
        <f>huishoudens!K8</f>
        <v>0</v>
      </c>
      <c r="L4" s="445">
        <f>huishoudens!L8</f>
        <v>0</v>
      </c>
      <c r="M4" s="445">
        <f>huishoudens!M8</f>
        <v>0</v>
      </c>
      <c r="N4" s="445">
        <f>huishoudens!N8</f>
        <v>7560.911509122021</v>
      </c>
      <c r="O4" s="445">
        <f>huishoudens!O8</f>
        <v>85.983333333333334</v>
      </c>
      <c r="P4" s="446">
        <f>huishoudens!P8</f>
        <v>400.4</v>
      </c>
      <c r="Q4" s="447">
        <f>SUM(B4:P4)</f>
        <v>137482.34979618795</v>
      </c>
    </row>
    <row r="5" spans="1:17">
      <c r="A5" s="444" t="s">
        <v>155</v>
      </c>
      <c r="B5" s="445">
        <f ca="1">tertiair!B16</f>
        <v>8466.8356496561155</v>
      </c>
      <c r="C5" s="445">
        <f ca="1">tertiair!C16</f>
        <v>0</v>
      </c>
      <c r="D5" s="445">
        <f ca="1">tertiair!D16</f>
        <v>18583.722750338318</v>
      </c>
      <c r="E5" s="445">
        <f>tertiair!E16</f>
        <v>96.893815464152325</v>
      </c>
      <c r="F5" s="445">
        <f ca="1">tertiair!F16</f>
        <v>1437.2643850861689</v>
      </c>
      <c r="G5" s="445">
        <f>tertiair!G16</f>
        <v>0</v>
      </c>
      <c r="H5" s="445">
        <f>tertiair!H16</f>
        <v>0</v>
      </c>
      <c r="I5" s="445">
        <f>tertiair!I16</f>
        <v>0</v>
      </c>
      <c r="J5" s="445">
        <f>tertiair!J16</f>
        <v>1.4317839150135268E-2</v>
      </c>
      <c r="K5" s="445">
        <f>tertiair!K16</f>
        <v>0</v>
      </c>
      <c r="L5" s="445">
        <f ca="1">tertiair!L16</f>
        <v>0</v>
      </c>
      <c r="M5" s="445">
        <f>tertiair!M16</f>
        <v>0</v>
      </c>
      <c r="N5" s="445">
        <f ca="1">tertiair!N16</f>
        <v>577.91858506034077</v>
      </c>
      <c r="O5" s="445">
        <f>tertiair!O16</f>
        <v>0</v>
      </c>
      <c r="P5" s="446">
        <f>tertiair!P16</f>
        <v>0</v>
      </c>
      <c r="Q5" s="444">
        <f t="shared" ref="Q5:Q14" ca="1" si="0">SUM(B5:P5)</f>
        <v>29162.649503444249</v>
      </c>
    </row>
    <row r="6" spans="1:17">
      <c r="A6" s="444" t="s">
        <v>193</v>
      </c>
      <c r="B6" s="445">
        <f>'openbare verlichting'!B8</f>
        <v>992.84799999999996</v>
      </c>
      <c r="C6" s="445"/>
      <c r="D6" s="445"/>
      <c r="E6" s="445"/>
      <c r="F6" s="445"/>
      <c r="G6" s="445"/>
      <c r="H6" s="445"/>
      <c r="I6" s="445"/>
      <c r="J6" s="445"/>
      <c r="K6" s="445"/>
      <c r="L6" s="445"/>
      <c r="M6" s="445"/>
      <c r="N6" s="445"/>
      <c r="O6" s="445"/>
      <c r="P6" s="446"/>
      <c r="Q6" s="444">
        <f t="shared" si="0"/>
        <v>992.84799999999996</v>
      </c>
    </row>
    <row r="7" spans="1:17">
      <c r="A7" s="444" t="s">
        <v>111</v>
      </c>
      <c r="B7" s="445">
        <f>landbouw!B8</f>
        <v>91.800435764051997</v>
      </c>
      <c r="C7" s="445">
        <f>landbouw!C8</f>
        <v>0</v>
      </c>
      <c r="D7" s="445">
        <f>landbouw!D8</f>
        <v>43.124589954893061</v>
      </c>
      <c r="E7" s="445">
        <f>landbouw!E8</f>
        <v>2.6982951979994492</v>
      </c>
      <c r="F7" s="445">
        <f>landbouw!F8</f>
        <v>382.4356547578642</v>
      </c>
      <c r="G7" s="445">
        <f>landbouw!G8</f>
        <v>0</v>
      </c>
      <c r="H7" s="445">
        <f>landbouw!H8</f>
        <v>0</v>
      </c>
      <c r="I7" s="445">
        <f>landbouw!I8</f>
        <v>0</v>
      </c>
      <c r="J7" s="445">
        <f>landbouw!J8</f>
        <v>13.299911705286288</v>
      </c>
      <c r="K7" s="445">
        <f>landbouw!K8</f>
        <v>0</v>
      </c>
      <c r="L7" s="445">
        <f>landbouw!L8</f>
        <v>0</v>
      </c>
      <c r="M7" s="445">
        <f>landbouw!M8</f>
        <v>0</v>
      </c>
      <c r="N7" s="445">
        <f>landbouw!N8</f>
        <v>0</v>
      </c>
      <c r="O7" s="445">
        <f>landbouw!O8</f>
        <v>0</v>
      </c>
      <c r="P7" s="446">
        <f>landbouw!P8</f>
        <v>0</v>
      </c>
      <c r="Q7" s="444">
        <f t="shared" si="0"/>
        <v>533.35888738009498</v>
      </c>
    </row>
    <row r="8" spans="1:17">
      <c r="A8" s="444" t="s">
        <v>627</v>
      </c>
      <c r="B8" s="445">
        <f>industrie!B18</f>
        <v>417.05852946409595</v>
      </c>
      <c r="C8" s="445">
        <f>industrie!C18</f>
        <v>0</v>
      </c>
      <c r="D8" s="445">
        <f>industrie!D18</f>
        <v>960.92505779148382</v>
      </c>
      <c r="E8" s="445">
        <f>industrie!E18</f>
        <v>64.712512589525502</v>
      </c>
      <c r="F8" s="445">
        <f>industrie!F18</f>
        <v>190.17609430220412</v>
      </c>
      <c r="G8" s="445">
        <f>industrie!G18</f>
        <v>0</v>
      </c>
      <c r="H8" s="445">
        <f>industrie!H18</f>
        <v>0</v>
      </c>
      <c r="I8" s="445">
        <f>industrie!I18</f>
        <v>0</v>
      </c>
      <c r="J8" s="445">
        <f>industrie!J18</f>
        <v>0.38601384498418767</v>
      </c>
      <c r="K8" s="445">
        <f>industrie!K18</f>
        <v>0</v>
      </c>
      <c r="L8" s="445">
        <f>industrie!L18</f>
        <v>0</v>
      </c>
      <c r="M8" s="445">
        <f>industrie!M18</f>
        <v>0</v>
      </c>
      <c r="N8" s="445">
        <f>industrie!N18</f>
        <v>26.285131542864377</v>
      </c>
      <c r="O8" s="445">
        <f>industrie!O18</f>
        <v>0</v>
      </c>
      <c r="P8" s="446">
        <f>industrie!P18</f>
        <v>0</v>
      </c>
      <c r="Q8" s="444">
        <f t="shared" si="0"/>
        <v>1659.5433395351579</v>
      </c>
    </row>
    <row r="9" spans="1:17" s="450" customFormat="1">
      <c r="A9" s="448" t="s">
        <v>553</v>
      </c>
      <c r="B9" s="449">
        <f>transport!B14</f>
        <v>66.020105395166212</v>
      </c>
      <c r="C9" s="449">
        <f>transport!C14</f>
        <v>0</v>
      </c>
      <c r="D9" s="449">
        <f>transport!D14</f>
        <v>99.987392140613338</v>
      </c>
      <c r="E9" s="449">
        <f>transport!E14</f>
        <v>198.31358173146145</v>
      </c>
      <c r="F9" s="449">
        <f>transport!F14</f>
        <v>0</v>
      </c>
      <c r="G9" s="449">
        <f>transport!G14</f>
        <v>77107.326239644652</v>
      </c>
      <c r="H9" s="449">
        <f>transport!H14</f>
        <v>16521.219016579995</v>
      </c>
      <c r="I9" s="449">
        <f>transport!I14</f>
        <v>0</v>
      </c>
      <c r="J9" s="449">
        <f>transport!J14</f>
        <v>0</v>
      </c>
      <c r="K9" s="449">
        <f>transport!K14</f>
        <v>0</v>
      </c>
      <c r="L9" s="449">
        <f>transport!L14</f>
        <v>0</v>
      </c>
      <c r="M9" s="449">
        <f>transport!M14</f>
        <v>4991.4188632916503</v>
      </c>
      <c r="N9" s="449">
        <f>transport!N14</f>
        <v>0</v>
      </c>
      <c r="O9" s="449">
        <f>transport!O14</f>
        <v>0</v>
      </c>
      <c r="P9" s="449">
        <f>transport!P14</f>
        <v>0</v>
      </c>
      <c r="Q9" s="448">
        <f>SUM(B9:P9)</f>
        <v>98984.285198783546</v>
      </c>
    </row>
    <row r="10" spans="1:17">
      <c r="A10" s="444" t="s">
        <v>543</v>
      </c>
      <c r="B10" s="445">
        <f>transport!B54</f>
        <v>5.8666838898886073</v>
      </c>
      <c r="C10" s="445">
        <f>transport!C54</f>
        <v>0</v>
      </c>
      <c r="D10" s="445">
        <f>transport!D54</f>
        <v>0</v>
      </c>
      <c r="E10" s="445">
        <f>transport!E54</f>
        <v>0</v>
      </c>
      <c r="F10" s="445">
        <f>transport!F54</f>
        <v>0</v>
      </c>
      <c r="G10" s="445">
        <f>transport!G54</f>
        <v>551.11671935993547</v>
      </c>
      <c r="H10" s="445">
        <f>transport!H54</f>
        <v>0</v>
      </c>
      <c r="I10" s="445">
        <f>transport!I54</f>
        <v>0</v>
      </c>
      <c r="J10" s="445">
        <f>transport!J54</f>
        <v>0</v>
      </c>
      <c r="K10" s="445">
        <f>transport!K54</f>
        <v>0</v>
      </c>
      <c r="L10" s="445">
        <f>transport!L54</f>
        <v>0</v>
      </c>
      <c r="M10" s="445">
        <f>transport!M54</f>
        <v>31.737157131156625</v>
      </c>
      <c r="N10" s="445">
        <f>transport!N54</f>
        <v>0</v>
      </c>
      <c r="O10" s="445">
        <f>transport!O54</f>
        <v>0</v>
      </c>
      <c r="P10" s="446">
        <f>transport!P54</f>
        <v>0</v>
      </c>
      <c r="Q10" s="444">
        <f t="shared" si="0"/>
        <v>588.72056038098071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795.26722635267106</v>
      </c>
      <c r="C14" s="452"/>
      <c r="D14" s="452">
        <f>'SEAP template'!E25</f>
        <v>2859.9598140572302</v>
      </c>
      <c r="E14" s="452"/>
      <c r="F14" s="452"/>
      <c r="G14" s="452"/>
      <c r="H14" s="452"/>
      <c r="I14" s="452"/>
      <c r="J14" s="452"/>
      <c r="K14" s="452"/>
      <c r="L14" s="452"/>
      <c r="M14" s="452"/>
      <c r="N14" s="452"/>
      <c r="O14" s="452"/>
      <c r="P14" s="453"/>
      <c r="Q14" s="444">
        <f t="shared" si="0"/>
        <v>3655.2270404099013</v>
      </c>
    </row>
    <row r="15" spans="1:17" s="454" customFormat="1">
      <c r="A15" s="999" t="s">
        <v>547</v>
      </c>
      <c r="B15" s="947">
        <f ca="1">SUM(B4:B14)</f>
        <v>32290.229114733716</v>
      </c>
      <c r="C15" s="947">
        <f t="shared" ref="C15:Q15" ca="1" si="1">SUM(C4:C14)</f>
        <v>0</v>
      </c>
      <c r="D15" s="947">
        <f t="shared" ca="1" si="1"/>
        <v>109480.85221795362</v>
      </c>
      <c r="E15" s="947">
        <f t="shared" si="1"/>
        <v>1158.1372910432933</v>
      </c>
      <c r="F15" s="947">
        <f t="shared" ca="1" si="1"/>
        <v>22164.763845470068</v>
      </c>
      <c r="G15" s="947">
        <f t="shared" si="1"/>
        <v>77658.442959004591</v>
      </c>
      <c r="H15" s="947">
        <f t="shared" si="1"/>
        <v>16521.219016579995</v>
      </c>
      <c r="I15" s="947">
        <f t="shared" si="1"/>
        <v>0</v>
      </c>
      <c r="J15" s="947">
        <f t="shared" si="1"/>
        <v>110.68330185522075</v>
      </c>
      <c r="K15" s="947">
        <f t="shared" si="1"/>
        <v>0</v>
      </c>
      <c r="L15" s="947">
        <f t="shared" ca="1" si="1"/>
        <v>0</v>
      </c>
      <c r="M15" s="947">
        <f t="shared" si="1"/>
        <v>5023.1560204228072</v>
      </c>
      <c r="N15" s="947">
        <f t="shared" ca="1" si="1"/>
        <v>8165.1152257252261</v>
      </c>
      <c r="O15" s="947">
        <f t="shared" si="1"/>
        <v>85.983333333333334</v>
      </c>
      <c r="P15" s="947">
        <f t="shared" si="1"/>
        <v>400.4</v>
      </c>
      <c r="Q15" s="947">
        <f t="shared" ca="1" si="1"/>
        <v>273058.98232612188</v>
      </c>
    </row>
    <row r="17" spans="1:17">
      <c r="A17" s="455" t="s">
        <v>548</v>
      </c>
      <c r="B17" s="754">
        <f ca="1">huishoudens!B10</f>
        <v>0.21599727827751716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4634.1206233063122</v>
      </c>
      <c r="C22" s="445">
        <f t="shared" ref="C22:C32" ca="1" si="3">C4*$C$17</f>
        <v>0</v>
      </c>
      <c r="D22" s="445">
        <f t="shared" ref="D22:D32" si="4">D4*$D$17</f>
        <v>17560.492787961561</v>
      </c>
      <c r="E22" s="445">
        <f t="shared" ref="E22:E32" si="5">E4*$E$17</f>
        <v>180.58283253565511</v>
      </c>
      <c r="F22" s="445">
        <f t="shared" ref="F22:F32" si="6">F4*$F$17</f>
        <v>5381.3550189234629</v>
      </c>
      <c r="G22" s="445">
        <f t="shared" ref="G22:G32" si="7">G4*$G$17</f>
        <v>0</v>
      </c>
      <c r="H22" s="445">
        <f t="shared" ref="H22:H32" si="8">H4*$H$17</f>
        <v>0</v>
      </c>
      <c r="I22" s="445">
        <f t="shared" ref="I22:I32" si="9">I4*$I$17</f>
        <v>0</v>
      </c>
      <c r="J22" s="445">
        <f t="shared" ref="J22:J32" si="10">J4*$J$17</f>
        <v>34.332002696893241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27790.883265423887</v>
      </c>
    </row>
    <row r="23" spans="1:17">
      <c r="A23" s="444" t="s">
        <v>155</v>
      </c>
      <c r="B23" s="445">
        <f t="shared" ca="1" si="2"/>
        <v>1828.8134559487748</v>
      </c>
      <c r="C23" s="445">
        <f t="shared" ca="1" si="3"/>
        <v>0</v>
      </c>
      <c r="D23" s="445">
        <f t="shared" ca="1" si="4"/>
        <v>3753.9119955683404</v>
      </c>
      <c r="E23" s="445">
        <f t="shared" si="5"/>
        <v>21.994896110362578</v>
      </c>
      <c r="F23" s="445">
        <f t="shared" ca="1" si="6"/>
        <v>383.74959081800711</v>
      </c>
      <c r="G23" s="445">
        <f t="shared" si="7"/>
        <v>0</v>
      </c>
      <c r="H23" s="445">
        <f t="shared" si="8"/>
        <v>0</v>
      </c>
      <c r="I23" s="445">
        <f t="shared" si="9"/>
        <v>0</v>
      </c>
      <c r="J23" s="445">
        <f t="shared" si="10"/>
        <v>5.0685150591478845E-3</v>
      </c>
      <c r="K23" s="445">
        <f t="shared" si="11"/>
        <v>0</v>
      </c>
      <c r="L23" s="445">
        <f t="shared" ca="1" si="12"/>
        <v>0</v>
      </c>
      <c r="M23" s="445">
        <f t="shared" si="13"/>
        <v>0</v>
      </c>
      <c r="N23" s="445">
        <f t="shared" ca="1" si="14"/>
        <v>0</v>
      </c>
      <c r="O23" s="445">
        <f t="shared" si="15"/>
        <v>0</v>
      </c>
      <c r="P23" s="446">
        <f t="shared" si="16"/>
        <v>0</v>
      </c>
      <c r="Q23" s="444">
        <f t="shared" ref="Q23:Q32" ca="1" si="17">SUM(B23:P23)</f>
        <v>5988.4750069605443</v>
      </c>
    </row>
    <row r="24" spans="1:17">
      <c r="A24" s="444" t="s">
        <v>193</v>
      </c>
      <c r="B24" s="445">
        <f t="shared" ca="1" si="2"/>
        <v>214.45246574327635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214.45246574327635</v>
      </c>
    </row>
    <row r="25" spans="1:17">
      <c r="A25" s="444" t="s">
        <v>111</v>
      </c>
      <c r="B25" s="445">
        <f t="shared" ca="1" si="2"/>
        <v>19.828644269725277</v>
      </c>
      <c r="C25" s="445">
        <f t="shared" ca="1" si="3"/>
        <v>0</v>
      </c>
      <c r="D25" s="445">
        <f t="shared" si="4"/>
        <v>8.7111671708883982</v>
      </c>
      <c r="E25" s="445">
        <f t="shared" si="5"/>
        <v>0.61251300994587499</v>
      </c>
      <c r="F25" s="445">
        <f t="shared" si="6"/>
        <v>102.11031982034974</v>
      </c>
      <c r="G25" s="445">
        <f t="shared" si="7"/>
        <v>0</v>
      </c>
      <c r="H25" s="445">
        <f t="shared" si="8"/>
        <v>0</v>
      </c>
      <c r="I25" s="445">
        <f t="shared" si="9"/>
        <v>0</v>
      </c>
      <c r="J25" s="445">
        <f t="shared" si="10"/>
        <v>4.7081687436713455</v>
      </c>
      <c r="K25" s="445">
        <f t="shared" si="11"/>
        <v>0</v>
      </c>
      <c r="L25" s="445">
        <f t="shared" si="12"/>
        <v>0</v>
      </c>
      <c r="M25" s="445">
        <f t="shared" si="13"/>
        <v>0</v>
      </c>
      <c r="N25" s="445">
        <f t="shared" si="14"/>
        <v>0</v>
      </c>
      <c r="O25" s="445">
        <f t="shared" si="15"/>
        <v>0</v>
      </c>
      <c r="P25" s="446">
        <f t="shared" si="16"/>
        <v>0</v>
      </c>
      <c r="Q25" s="444">
        <f t="shared" ca="1" si="17"/>
        <v>135.97081301458064</v>
      </c>
    </row>
    <row r="26" spans="1:17">
      <c r="A26" s="444" t="s">
        <v>627</v>
      </c>
      <c r="B26" s="445">
        <f t="shared" ca="1" si="2"/>
        <v>90.083507246668418</v>
      </c>
      <c r="C26" s="445">
        <f t="shared" ca="1" si="3"/>
        <v>0</v>
      </c>
      <c r="D26" s="445">
        <f t="shared" si="4"/>
        <v>194.10686167387973</v>
      </c>
      <c r="E26" s="445">
        <f t="shared" si="5"/>
        <v>14.68974035782229</v>
      </c>
      <c r="F26" s="445">
        <f t="shared" si="6"/>
        <v>50.777017178688503</v>
      </c>
      <c r="G26" s="445">
        <f t="shared" si="7"/>
        <v>0</v>
      </c>
      <c r="H26" s="445">
        <f t="shared" si="8"/>
        <v>0</v>
      </c>
      <c r="I26" s="445">
        <f t="shared" si="9"/>
        <v>0</v>
      </c>
      <c r="J26" s="445">
        <f t="shared" si="10"/>
        <v>0.13664890112440242</v>
      </c>
      <c r="K26" s="445">
        <f t="shared" si="11"/>
        <v>0</v>
      </c>
      <c r="L26" s="445">
        <f t="shared" si="12"/>
        <v>0</v>
      </c>
      <c r="M26" s="445">
        <f t="shared" si="13"/>
        <v>0</v>
      </c>
      <c r="N26" s="445">
        <f t="shared" si="14"/>
        <v>0</v>
      </c>
      <c r="O26" s="445">
        <f t="shared" si="15"/>
        <v>0</v>
      </c>
      <c r="P26" s="446">
        <f t="shared" si="16"/>
        <v>0</v>
      </c>
      <c r="Q26" s="444">
        <f t="shared" ca="1" si="17"/>
        <v>349.79377535818332</v>
      </c>
    </row>
    <row r="27" spans="1:17" s="450" customFormat="1">
      <c r="A27" s="448" t="s">
        <v>553</v>
      </c>
      <c r="B27" s="748">
        <f t="shared" ca="1" si="2"/>
        <v>14.260163076950729</v>
      </c>
      <c r="C27" s="449">
        <f t="shared" ca="1" si="3"/>
        <v>0</v>
      </c>
      <c r="D27" s="449">
        <f t="shared" si="4"/>
        <v>20.197453212403897</v>
      </c>
      <c r="E27" s="449">
        <f t="shared" si="5"/>
        <v>45.017183053041748</v>
      </c>
      <c r="F27" s="449">
        <f t="shared" si="6"/>
        <v>0</v>
      </c>
      <c r="G27" s="449">
        <f t="shared" si="7"/>
        <v>20587.656105985123</v>
      </c>
      <c r="H27" s="449">
        <f t="shared" si="8"/>
        <v>4113.7835351284184</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24780.914440455937</v>
      </c>
    </row>
    <row r="28" spans="1:17">
      <c r="A28" s="444" t="s">
        <v>543</v>
      </c>
      <c r="B28" s="445">
        <f t="shared" ca="1" si="2"/>
        <v>1.2671877527304964</v>
      </c>
      <c r="C28" s="445">
        <f t="shared" ca="1" si="3"/>
        <v>0</v>
      </c>
      <c r="D28" s="445">
        <f t="shared" si="4"/>
        <v>0</v>
      </c>
      <c r="E28" s="445">
        <f t="shared" si="5"/>
        <v>0</v>
      </c>
      <c r="F28" s="445">
        <f t="shared" si="6"/>
        <v>0</v>
      </c>
      <c r="G28" s="445">
        <f t="shared" si="7"/>
        <v>147.14816406910279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148.4153518218333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171.77555639548711</v>
      </c>
      <c r="C32" s="445">
        <f t="shared" ca="1" si="3"/>
        <v>0</v>
      </c>
      <c r="D32" s="445">
        <f t="shared" si="4"/>
        <v>577.71188243956055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749.48743883504767</v>
      </c>
    </row>
    <row r="33" spans="1:17" s="454" customFormat="1">
      <c r="A33" s="999" t="s">
        <v>547</v>
      </c>
      <c r="B33" s="947">
        <f ca="1">SUM(B22:B32)</f>
        <v>6974.6016037399249</v>
      </c>
      <c r="C33" s="947">
        <f t="shared" ref="C33:Q33" ca="1" si="18">SUM(C22:C32)</f>
        <v>0</v>
      </c>
      <c r="D33" s="947">
        <f t="shared" ca="1" si="18"/>
        <v>22115.132148026638</v>
      </c>
      <c r="E33" s="947">
        <f t="shared" si="18"/>
        <v>262.8971650668276</v>
      </c>
      <c r="F33" s="947">
        <f t="shared" ca="1" si="18"/>
        <v>5917.9919467405089</v>
      </c>
      <c r="G33" s="947">
        <f t="shared" si="18"/>
        <v>20734.804270054225</v>
      </c>
      <c r="H33" s="947">
        <f t="shared" si="18"/>
        <v>4113.7835351284184</v>
      </c>
      <c r="I33" s="947">
        <f t="shared" si="18"/>
        <v>0</v>
      </c>
      <c r="J33" s="947">
        <f t="shared" si="18"/>
        <v>39.181888856748138</v>
      </c>
      <c r="K33" s="947">
        <f t="shared" si="18"/>
        <v>0</v>
      </c>
      <c r="L33" s="947">
        <f t="shared" ca="1" si="18"/>
        <v>0</v>
      </c>
      <c r="M33" s="947">
        <f t="shared" si="18"/>
        <v>0</v>
      </c>
      <c r="N33" s="947">
        <f t="shared" ca="1" si="18"/>
        <v>0</v>
      </c>
      <c r="O33" s="947">
        <f t="shared" si="18"/>
        <v>0</v>
      </c>
      <c r="P33" s="947">
        <f t="shared" si="18"/>
        <v>0</v>
      </c>
      <c r="Q33" s="947">
        <f t="shared" ca="1" si="18"/>
        <v>60158.39255761329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730.94583989242972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730.94583989242972</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0.21599727827751716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0.21599727827751716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0.21599727827751716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0.21599727827751716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5410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96.27</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0</v>
      </c>
      <c r="C17" s="324"/>
      <c r="D17" s="324"/>
      <c r="E17" s="324"/>
      <c r="F17" s="324"/>
    </row>
    <row r="18" spans="1:6">
      <c r="A18" s="1291" t="s">
        <v>8</v>
      </c>
      <c r="B18" s="1292">
        <v>0</v>
      </c>
      <c r="C18" s="324"/>
      <c r="D18" s="324"/>
      <c r="E18" s="324"/>
      <c r="F18" s="324"/>
    </row>
    <row r="19" spans="1:6">
      <c r="A19" s="1291" t="s">
        <v>9</v>
      </c>
      <c r="B19" s="1292">
        <v>0</v>
      </c>
      <c r="C19" s="324"/>
      <c r="D19" s="324"/>
      <c r="E19" s="324"/>
      <c r="F19" s="324"/>
    </row>
    <row r="20" spans="1:6">
      <c r="A20" s="1291" t="s">
        <v>10</v>
      </c>
      <c r="B20" s="1292">
        <v>0</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15</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54</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4</v>
      </c>
      <c r="D36" s="1292">
        <v>2087373.78888503</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4233</v>
      </c>
      <c r="D39" s="1292">
        <v>96378195.802296102</v>
      </c>
      <c r="E39" s="1292">
        <v>5384</v>
      </c>
      <c r="F39" s="1292">
        <v>20723586.6443193</v>
      </c>
    </row>
    <row r="40" spans="1:6">
      <c r="A40" s="1291" t="s">
        <v>29</v>
      </c>
      <c r="B40" s="1291" t="s">
        <v>28</v>
      </c>
      <c r="C40" s="1292">
        <v>0</v>
      </c>
      <c r="D40" s="1292">
        <v>0</v>
      </c>
      <c r="E40" s="1292">
        <v>0</v>
      </c>
      <c r="F40" s="1292">
        <v>0</v>
      </c>
    </row>
    <row r="41" spans="1:6">
      <c r="A41" s="1291" t="s">
        <v>31</v>
      </c>
      <c r="B41" s="1291" t="s">
        <v>32</v>
      </c>
      <c r="C41" s="1292">
        <v>30</v>
      </c>
      <c r="D41" s="1292">
        <v>585386.30855730595</v>
      </c>
      <c r="E41" s="1292">
        <v>46</v>
      </c>
      <c r="F41" s="1292">
        <v>198218.192693302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82069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19</v>
      </c>
      <c r="D48" s="1292">
        <v>479940.806510858</v>
      </c>
      <c r="E48" s="1292">
        <v>20</v>
      </c>
      <c r="F48" s="1292">
        <v>107825.66909412701</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28945.667676666901</v>
      </c>
    </row>
    <row r="51" spans="1:6">
      <c r="A51" s="1291" t="s">
        <v>41</v>
      </c>
      <c r="B51" s="1291" t="s">
        <v>42</v>
      </c>
      <c r="C51" s="1292">
        <v>0</v>
      </c>
      <c r="D51" s="1292">
        <v>0</v>
      </c>
      <c r="E51" s="1292">
        <v>0</v>
      </c>
      <c r="F51" s="1292">
        <v>0</v>
      </c>
    </row>
    <row r="52" spans="1:6">
      <c r="A52" s="1291" t="s">
        <v>41</v>
      </c>
      <c r="B52" s="1291" t="s">
        <v>28</v>
      </c>
      <c r="C52" s="1292">
        <v>1</v>
      </c>
      <c r="D52" s="1292">
        <v>47809.966690568799</v>
      </c>
      <c r="E52" s="1292">
        <v>4</v>
      </c>
      <c r="F52" s="1292">
        <v>91800.435764052003</v>
      </c>
    </row>
    <row r="53" spans="1:6">
      <c r="A53" s="1291" t="s">
        <v>43</v>
      </c>
      <c r="B53" s="1291" t="s">
        <v>44</v>
      </c>
      <c r="C53" s="1292">
        <v>112</v>
      </c>
      <c r="D53" s="1292">
        <v>2859959.81405723</v>
      </c>
      <c r="E53" s="1292">
        <v>176</v>
      </c>
      <c r="F53" s="1292">
        <v>795267.22635267104</v>
      </c>
    </row>
    <row r="54" spans="1:6">
      <c r="A54" s="1291" t="s">
        <v>45</v>
      </c>
      <c r="B54" s="1291" t="s">
        <v>46</v>
      </c>
      <c r="C54" s="1292">
        <v>0</v>
      </c>
      <c r="D54" s="1292">
        <v>0</v>
      </c>
      <c r="E54" s="1292">
        <v>1</v>
      </c>
      <c r="F54" s="1292">
        <v>992848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14</v>
      </c>
      <c r="D57" s="1292">
        <v>1267260.5447134101</v>
      </c>
      <c r="E57" s="1292">
        <v>28</v>
      </c>
      <c r="F57" s="1292">
        <v>394791.60302253201</v>
      </c>
    </row>
    <row r="58" spans="1:6">
      <c r="A58" s="1291" t="s">
        <v>48</v>
      </c>
      <c r="B58" s="1291" t="s">
        <v>50</v>
      </c>
      <c r="C58" s="1292">
        <v>23</v>
      </c>
      <c r="D58" s="1292">
        <v>817062.52818244603</v>
      </c>
      <c r="E58" s="1292">
        <v>25</v>
      </c>
      <c r="F58" s="1292">
        <v>419641.909430178</v>
      </c>
    </row>
    <row r="59" spans="1:6">
      <c r="A59" s="1291" t="s">
        <v>48</v>
      </c>
      <c r="B59" s="1291" t="s">
        <v>51</v>
      </c>
      <c r="C59" s="1292">
        <v>29</v>
      </c>
      <c r="D59" s="1292">
        <v>1198052.10896604</v>
      </c>
      <c r="E59" s="1292">
        <v>56</v>
      </c>
      <c r="F59" s="1292">
        <v>1525781.4452536299</v>
      </c>
    </row>
    <row r="60" spans="1:6">
      <c r="A60" s="1291" t="s">
        <v>48</v>
      </c>
      <c r="B60" s="1291" t="s">
        <v>52</v>
      </c>
      <c r="C60" s="1292">
        <v>9</v>
      </c>
      <c r="D60" s="1292">
        <v>819579.70221063402</v>
      </c>
      <c r="E60" s="1292">
        <v>12</v>
      </c>
      <c r="F60" s="1292">
        <v>333855.77538006002</v>
      </c>
    </row>
    <row r="61" spans="1:6">
      <c r="A61" s="1291" t="s">
        <v>48</v>
      </c>
      <c r="B61" s="1291" t="s">
        <v>53</v>
      </c>
      <c r="C61" s="1292">
        <v>145</v>
      </c>
      <c r="D61" s="1292">
        <v>8040774.5993805705</v>
      </c>
      <c r="E61" s="1292">
        <v>228</v>
      </c>
      <c r="F61" s="1292">
        <v>2969602.7865553098</v>
      </c>
    </row>
    <row r="62" spans="1:6">
      <c r="A62" s="1291" t="s">
        <v>48</v>
      </c>
      <c r="B62" s="1291" t="s">
        <v>54</v>
      </c>
      <c r="C62" s="1292">
        <v>7</v>
      </c>
      <c r="D62" s="1292">
        <v>163848.62097891301</v>
      </c>
      <c r="E62" s="1292">
        <v>11</v>
      </c>
      <c r="F62" s="1292">
        <v>449261.20914895501</v>
      </c>
    </row>
    <row r="63" spans="1:6">
      <c r="A63" s="1291" t="s">
        <v>48</v>
      </c>
      <c r="B63" s="1291" t="s">
        <v>28</v>
      </c>
      <c r="C63" s="1292">
        <v>77</v>
      </c>
      <c r="D63" s="1292">
        <v>8296218.73629783</v>
      </c>
      <c r="E63" s="1292">
        <v>77</v>
      </c>
      <c r="F63" s="1292">
        <v>2373900.9208654501</v>
      </c>
    </row>
    <row r="64" spans="1:6">
      <c r="A64" s="1291" t="s">
        <v>55</v>
      </c>
      <c r="B64" s="1291" t="s">
        <v>56</v>
      </c>
      <c r="C64" s="1292">
        <v>0</v>
      </c>
      <c r="D64" s="1292">
        <v>0</v>
      </c>
      <c r="E64" s="1292">
        <v>0</v>
      </c>
      <c r="F64" s="1292">
        <v>0</v>
      </c>
    </row>
    <row r="65" spans="1:6">
      <c r="A65" s="1291" t="s">
        <v>55</v>
      </c>
      <c r="B65" s="1291" t="s">
        <v>28</v>
      </c>
      <c r="C65" s="1292">
        <v>3</v>
      </c>
      <c r="D65" s="1292">
        <v>45574.203152198803</v>
      </c>
      <c r="E65" s="1292">
        <v>4</v>
      </c>
      <c r="F65" s="1292">
        <v>36317.093644907502</v>
      </c>
    </row>
    <row r="66" spans="1:6">
      <c r="A66" s="1291" t="s">
        <v>55</v>
      </c>
      <c r="B66" s="1291" t="s">
        <v>57</v>
      </c>
      <c r="C66" s="1292">
        <v>0</v>
      </c>
      <c r="D66" s="1292">
        <v>0</v>
      </c>
      <c r="E66" s="1292">
        <v>9</v>
      </c>
      <c r="F66" s="1292">
        <v>260942.15441239299</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18648.919604888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17919558</v>
      </c>
      <c r="E73" s="443"/>
      <c r="F73" s="324"/>
    </row>
    <row r="74" spans="1:6">
      <c r="A74" s="1291" t="s">
        <v>63</v>
      </c>
      <c r="B74" s="1291" t="s">
        <v>648</v>
      </c>
      <c r="C74" s="1305" t="s">
        <v>650</v>
      </c>
      <c r="D74" s="1306">
        <v>570518</v>
      </c>
      <c r="E74" s="443"/>
      <c r="F74" s="324"/>
    </row>
    <row r="75" spans="1:6">
      <c r="A75" s="1291" t="s">
        <v>64</v>
      </c>
      <c r="B75" s="1291" t="s">
        <v>647</v>
      </c>
      <c r="C75" s="1305" t="s">
        <v>651</v>
      </c>
      <c r="D75" s="1306">
        <v>16054408</v>
      </c>
      <c r="E75" s="443"/>
      <c r="F75" s="324"/>
    </row>
    <row r="76" spans="1:6">
      <c r="A76" s="1291" t="s">
        <v>64</v>
      </c>
      <c r="B76" s="1291" t="s">
        <v>648</v>
      </c>
      <c r="C76" s="1305" t="s">
        <v>652</v>
      </c>
      <c r="D76" s="1306">
        <v>62566</v>
      </c>
      <c r="E76" s="443"/>
      <c r="F76" s="324"/>
    </row>
    <row r="77" spans="1:6">
      <c r="A77" s="1291" t="s">
        <v>65</v>
      </c>
      <c r="B77" s="1291" t="s">
        <v>647</v>
      </c>
      <c r="C77" s="1305" t="s">
        <v>653</v>
      </c>
      <c r="D77" s="1306">
        <v>76794631</v>
      </c>
      <c r="E77" s="443"/>
      <c r="F77" s="324"/>
    </row>
    <row r="78" spans="1:6">
      <c r="A78" s="1286" t="s">
        <v>65</v>
      </c>
      <c r="B78" s="1286" t="s">
        <v>648</v>
      </c>
      <c r="C78" s="1286" t="s">
        <v>654</v>
      </c>
      <c r="D78" s="1307">
        <v>8347534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160124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730.94583989242972</v>
      </c>
      <c r="C91" s="324"/>
      <c r="D91" s="324"/>
      <c r="E91" s="324"/>
      <c r="F91" s="324"/>
    </row>
    <row r="92" spans="1:6">
      <c r="A92" s="1286" t="s">
        <v>68</v>
      </c>
      <c r="B92" s="1287">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2958</v>
      </c>
      <c r="C97" s="324"/>
      <c r="D97" s="324"/>
      <c r="E97" s="324"/>
      <c r="F97" s="324"/>
    </row>
    <row r="98" spans="1:6">
      <c r="A98" s="1291" t="s">
        <v>71</v>
      </c>
      <c r="B98" s="1292">
        <v>4</v>
      </c>
      <c r="C98" s="324"/>
      <c r="D98" s="324"/>
      <c r="E98" s="324"/>
      <c r="F98" s="324"/>
    </row>
    <row r="99" spans="1:6">
      <c r="A99" s="1291" t="s">
        <v>72</v>
      </c>
      <c r="B99" s="1292">
        <v>27</v>
      </c>
      <c r="C99" s="324"/>
      <c r="D99" s="324"/>
      <c r="E99" s="324"/>
      <c r="F99" s="324"/>
    </row>
    <row r="100" spans="1:6">
      <c r="A100" s="1291" t="s">
        <v>73</v>
      </c>
      <c r="B100" s="1292">
        <v>215</v>
      </c>
      <c r="C100" s="324"/>
      <c r="D100" s="324"/>
      <c r="E100" s="324"/>
      <c r="F100" s="324"/>
    </row>
    <row r="101" spans="1:6">
      <c r="A101" s="1291" t="s">
        <v>74</v>
      </c>
      <c r="B101" s="1292">
        <v>11</v>
      </c>
      <c r="C101" s="324"/>
      <c r="D101" s="324"/>
      <c r="E101" s="324"/>
      <c r="F101" s="324"/>
    </row>
    <row r="102" spans="1:6">
      <c r="A102" s="1291" t="s">
        <v>75</v>
      </c>
      <c r="B102" s="1292">
        <v>127</v>
      </c>
      <c r="C102" s="324"/>
      <c r="D102" s="324"/>
      <c r="E102" s="324"/>
      <c r="F102" s="324"/>
    </row>
    <row r="103" spans="1:6">
      <c r="A103" s="1291" t="s">
        <v>76</v>
      </c>
      <c r="B103" s="1292">
        <v>15</v>
      </c>
      <c r="C103" s="324"/>
      <c r="D103" s="324"/>
      <c r="E103" s="324"/>
      <c r="F103" s="324"/>
    </row>
    <row r="104" spans="1:6">
      <c r="A104" s="1291" t="s">
        <v>77</v>
      </c>
      <c r="B104" s="1292">
        <v>1366</v>
      </c>
      <c r="C104" s="324"/>
      <c r="D104" s="324"/>
      <c r="E104" s="324"/>
      <c r="F104" s="324"/>
    </row>
    <row r="105" spans="1:6">
      <c r="A105" s="1286" t="s">
        <v>78</v>
      </c>
      <c r="B105" s="1295">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18</v>
      </c>
      <c r="C123" s="1292">
        <v>9</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46</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32290.229114733716</v>
      </c>
      <c r="C3" s="43" t="s">
        <v>169</v>
      </c>
      <c r="D3" s="43"/>
      <c r="E3" s="154"/>
      <c r="F3" s="43"/>
      <c r="G3" s="43"/>
      <c r="H3" s="43"/>
      <c r="I3" s="43"/>
      <c r="J3" s="43"/>
      <c r="K3" s="96"/>
    </row>
    <row r="4" spans="1:11">
      <c r="A4" s="352" t="s">
        <v>170</v>
      </c>
      <c r="B4" s="49">
        <f>IF(ISERROR('SEAP template'!B78+'SEAP template'!C78),0,'SEAP template'!B78+'SEAP template'!C78)</f>
        <v>730.94583989242972</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0.21599727827751716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992.84799999999996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992.84799999999996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0.21599727827751716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214.45246574327635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20723.586644319301</v>
      </c>
      <c r="C5" s="17">
        <f>IF(ISERROR('Eigen informatie GS &amp; warmtenet'!B57),0,'Eigen informatie GS &amp; warmtenet'!B57)</f>
        <v>0</v>
      </c>
      <c r="D5" s="30">
        <f>(SUM(HH_hh_gas_kWh,HH_rest_gas_kWh)/1000)*0.902</f>
        <v>86933.132613671085</v>
      </c>
      <c r="E5" s="17">
        <f>B32*B41</f>
        <v>795.51908606015468</v>
      </c>
      <c r="F5" s="17">
        <f>B36*B45</f>
        <v>20154.88771132383</v>
      </c>
      <c r="G5" s="18"/>
      <c r="H5" s="17"/>
      <c r="I5" s="17"/>
      <c r="J5" s="17">
        <f>B35*B44+C35*C44</f>
        <v>96.983058465800127</v>
      </c>
      <c r="K5" s="17"/>
      <c r="L5" s="17"/>
      <c r="M5" s="17"/>
      <c r="N5" s="17">
        <f>B34*B43+C34*C43</f>
        <v>7560.911509122021</v>
      </c>
      <c r="O5" s="17">
        <f>B52*B53*B54</f>
        <v>85.983333333333334</v>
      </c>
      <c r="P5" s="17">
        <f>B60*B61*B62/1000-B60*B61*B62/1000/B63</f>
        <v>400.4</v>
      </c>
    </row>
    <row r="6" spans="1:16">
      <c r="A6" s="16" t="s">
        <v>613</v>
      </c>
      <c r="B6" s="756">
        <f>kWh_PV_kleiner_dan_10kW</f>
        <v>730.94583989242972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21454.53248421173</v>
      </c>
      <c r="C8" s="21">
        <f>C5</f>
        <v>0</v>
      </c>
      <c r="D8" s="21">
        <f>D5</f>
        <v>86933.132613671085</v>
      </c>
      <c r="E8" s="21">
        <f>E5</f>
        <v>795.51908606015468</v>
      </c>
      <c r="F8" s="21">
        <f>F5</f>
        <v>20154.88771132383</v>
      </c>
      <c r="G8" s="21"/>
      <c r="H8" s="21"/>
      <c r="I8" s="21"/>
      <c r="J8" s="21">
        <f>J5</f>
        <v>96.983058465800127</v>
      </c>
      <c r="K8" s="21"/>
      <c r="L8" s="21">
        <f>L5</f>
        <v>0</v>
      </c>
      <c r="M8" s="21">
        <f>M5</f>
        <v>0</v>
      </c>
      <c r="N8" s="21">
        <f>N5</f>
        <v>7560.911509122021</v>
      </c>
      <c r="O8" s="21">
        <f>O5</f>
        <v>85.983333333333334</v>
      </c>
      <c r="P8" s="21">
        <f>P5</f>
        <v>400.4</v>
      </c>
    </row>
    <row r="9" spans="1:16">
      <c r="B9" s="19"/>
      <c r="C9" s="19"/>
      <c r="D9" s="254"/>
      <c r="E9" s="19"/>
      <c r="F9" s="19"/>
      <c r="G9" s="19"/>
      <c r="H9" s="19"/>
      <c r="I9" s="19"/>
      <c r="J9" s="19"/>
      <c r="K9" s="19"/>
      <c r="L9" s="19"/>
      <c r="M9" s="19"/>
      <c r="N9" s="19"/>
      <c r="O9" s="19"/>
      <c r="P9" s="19"/>
    </row>
    <row r="10" spans="1:16">
      <c r="A10" s="24" t="s">
        <v>213</v>
      </c>
      <c r="B10" s="25">
        <f ca="1">'EF ele_warmte'!B12</f>
        <v>0.21599727827751716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4634.1206233063122</v>
      </c>
      <c r="C12" s="23">
        <f ca="1">C10*C8</f>
        <v>0</v>
      </c>
      <c r="D12" s="23">
        <f>D8*D10</f>
        <v>17560.492787961561</v>
      </c>
      <c r="E12" s="23">
        <f>E10*E8</f>
        <v>180.58283253565511</v>
      </c>
      <c r="F12" s="23">
        <f>F10*F8</f>
        <v>5381.3550189234629</v>
      </c>
      <c r="G12" s="23"/>
      <c r="H12" s="23"/>
      <c r="I12" s="23"/>
      <c r="J12" s="23">
        <f>J10*J8</f>
        <v>34.332002696893241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5410</v>
      </c>
      <c r="C26" s="36"/>
      <c r="D26" s="225"/>
    </row>
    <row r="27" spans="1:5" s="15" customFormat="1">
      <c r="A27" s="227" t="s">
        <v>768</v>
      </c>
      <c r="B27" s="37">
        <f>SUM(HH_hh_gas_aantal,HH_rest_gas_aantal)</f>
        <v>4233</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4021.35</v>
      </c>
      <c r="C31" s="34" t="s">
        <v>110</v>
      </c>
      <c r="D31" s="171"/>
    </row>
    <row r="32" spans="1:5">
      <c r="A32" s="168" t="s">
        <v>72</v>
      </c>
      <c r="B32" s="33">
        <f>IF((B21*($B$26-($B$27-0.05*$B$27)-$B$60))&lt;0,0,B21*($B$26-($B$27-0.05*$B$27)-$B$60))</f>
        <v>15.044826028558457</v>
      </c>
      <c r="C32" s="34" t="s">
        <v>110</v>
      </c>
      <c r="D32" s="171"/>
    </row>
    <row r="33" spans="1:6">
      <c r="A33" s="168" t="s">
        <v>73</v>
      </c>
      <c r="B33" s="33">
        <f>IF((B22*($B$26-($B$27-0.05*$B$27)-$B$60))&lt;0,0,B22*($B$26-($B$27-0.05*$B$27)-$B$60))</f>
        <v>312.79456731650333</v>
      </c>
      <c r="C33" s="34" t="s">
        <v>110</v>
      </c>
      <c r="D33" s="171"/>
    </row>
    <row r="34" spans="1:6">
      <c r="A34" s="168" t="s">
        <v>74</v>
      </c>
      <c r="B34" s="33">
        <f>IF((B24*($B$26-($B$27-0.05*$B$27)-$B$60))&lt;0,0,B24*($B$26-($B$27-0.05*$B$27)-$B$60))</f>
        <v>62.203719796727398</v>
      </c>
      <c r="C34" s="33">
        <f>B26*C24</f>
        <v>1107.4029370311696</v>
      </c>
      <c r="D34" s="230"/>
    </row>
    <row r="35" spans="1:6">
      <c r="A35" s="168" t="s">
        <v>76</v>
      </c>
      <c r="B35" s="33">
        <f>IF((B19*($B$26-($B$27-0.05*$B$27)-$B$60))&lt;0,0,B19*($B$26-($B$27-0.05*$B$27)-$B$60))</f>
        <v>11.387311009835441</v>
      </c>
      <c r="C35" s="33">
        <f>B35/2</f>
        <v>5.6936555049177207</v>
      </c>
      <c r="D35" s="230"/>
    </row>
    <row r="36" spans="1:6">
      <c r="A36" s="168" t="s">
        <v>77</v>
      </c>
      <c r="B36" s="33">
        <f>IF((B18*($B$26-($B$27-0.05*$B$27)-$B$60))&lt;0,0,B18*($B$26-($B$27-0.05*$B$27)-$B$60))</f>
        <v>966.21957584837548</v>
      </c>
      <c r="C36" s="34" t="s">
        <v>110</v>
      </c>
      <c r="D36" s="171"/>
    </row>
    <row r="37" spans="1:6">
      <c r="A37" s="168" t="s">
        <v>78</v>
      </c>
      <c r="B37" s="33">
        <f>B60</f>
        <v>21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55</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8466.8356496561155</v>
      </c>
      <c r="C5" s="17">
        <f>IF(ISERROR('Eigen informatie GS &amp; warmtenet'!B58),0,'Eigen informatie GS &amp; warmtenet'!B58)</f>
        <v>0</v>
      </c>
      <c r="D5" s="30">
        <f>SUM(D6:D12)</f>
        <v>18583.722750338318</v>
      </c>
      <c r="E5" s="17">
        <f>SUM(E6:E12)</f>
        <v>96.893815464152325</v>
      </c>
      <c r="F5" s="17">
        <f>SUM(F6:F12)</f>
        <v>1437.2643850861689</v>
      </c>
      <c r="G5" s="18"/>
      <c r="H5" s="17"/>
      <c r="I5" s="17"/>
      <c r="J5" s="17">
        <f>SUM(J6:J12)</f>
        <v>1.4317839150135268E-2</v>
      </c>
      <c r="K5" s="17"/>
      <c r="L5" s="17"/>
      <c r="M5" s="17"/>
      <c r="N5" s="17">
        <f>SUM(N6:N12)</f>
        <v>577.91858506034077</v>
      </c>
      <c r="O5" s="17">
        <f>B38*B39*B40</f>
        <v>0</v>
      </c>
      <c r="P5" s="17">
        <f>B46*B47*B48/1000-B46*B47*B48/1000/B49</f>
        <v>0</v>
      </c>
      <c r="R5" s="32"/>
    </row>
    <row r="6" spans="1:18">
      <c r="A6" s="32" t="s">
        <v>53</v>
      </c>
      <c r="B6" s="37">
        <f>B26</f>
        <v>2969.6027865553096</v>
      </c>
      <c r="C6" s="33"/>
      <c r="D6" s="37">
        <f>IF(ISERROR(TER_kantoor_gas_kWh/1000),0,TER_kantoor_gas_kWh/1000)*0.902</f>
        <v>7252.7786886412741</v>
      </c>
      <c r="E6" s="33">
        <f>$C$26*'E Balans VL '!I12/100/3.6*1000000</f>
        <v>1.8612482591715183E-2</v>
      </c>
      <c r="F6" s="33">
        <f>$C$26*('E Balans VL '!L12+'E Balans VL '!N12)/100/3.6*1000000</f>
        <v>446.24832020342382</v>
      </c>
      <c r="G6" s="34"/>
      <c r="H6" s="33"/>
      <c r="I6" s="33"/>
      <c r="J6" s="33">
        <f>$C$26*('E Balans VL '!D12+'E Balans VL '!E12)/100/3.6*1000000</f>
        <v>0</v>
      </c>
      <c r="K6" s="33"/>
      <c r="L6" s="33"/>
      <c r="M6" s="33"/>
      <c r="N6" s="33">
        <f>$C$26*'E Balans VL '!Y12/100/3.6*1000000</f>
        <v>2.8399847734075752</v>
      </c>
      <c r="O6" s="33"/>
      <c r="P6" s="33"/>
      <c r="R6" s="32"/>
    </row>
    <row r="7" spans="1:18">
      <c r="A7" s="32" t="s">
        <v>52</v>
      </c>
      <c r="B7" s="37">
        <f t="shared" ref="B7:B12" si="0">B27</f>
        <v>333.85577538006004</v>
      </c>
      <c r="C7" s="33"/>
      <c r="D7" s="37">
        <f>IF(ISERROR(TER_horeca_gas_kWh/1000),0,TER_horeca_gas_kWh/1000)*0.902</f>
        <v>739.26089139399187</v>
      </c>
      <c r="E7" s="33">
        <f>$C$27*'E Balans VL '!I9/100/3.6*1000000</f>
        <v>4.7807590936860791</v>
      </c>
      <c r="F7" s="33">
        <f>$C$27*('E Balans VL '!L9+'E Balans VL '!N9)/100/3.6*1000000</f>
        <v>42.277152150795452</v>
      </c>
      <c r="G7" s="34"/>
      <c r="H7" s="33"/>
      <c r="I7" s="33"/>
      <c r="J7" s="33">
        <f>$C$27*('E Balans VL '!D9+'E Balans VL '!E9)/100/3.6*1000000</f>
        <v>0</v>
      </c>
      <c r="K7" s="33"/>
      <c r="L7" s="33"/>
      <c r="M7" s="33"/>
      <c r="N7" s="33">
        <f>$C$27*'E Balans VL '!Y9/100/3.6*1000000</f>
        <v>9.5976174533776298E-2</v>
      </c>
      <c r="O7" s="33"/>
      <c r="P7" s="33"/>
      <c r="R7" s="32"/>
    </row>
    <row r="8" spans="1:18">
      <c r="A8" s="6" t="s">
        <v>51</v>
      </c>
      <c r="B8" s="37">
        <f t="shared" si="0"/>
        <v>1525.78144525363</v>
      </c>
      <c r="C8" s="33"/>
      <c r="D8" s="37">
        <f>IF(ISERROR(TER_handel_gas_kWh/1000),0,TER_handel_gas_kWh/1000)*0.902</f>
        <v>1080.6430022873681</v>
      </c>
      <c r="E8" s="33">
        <f>$C$28*'E Balans VL '!I13/100/3.6*1000000</f>
        <v>55.339904868410784</v>
      </c>
      <c r="F8" s="33">
        <f>$C$28*('E Balans VL '!L13+'E Balans VL '!N13)/100/3.6*1000000</f>
        <v>293.88095587523213</v>
      </c>
      <c r="G8" s="34"/>
      <c r="H8" s="33"/>
      <c r="I8" s="33"/>
      <c r="J8" s="33">
        <f>$C$28*('E Balans VL '!D13+'E Balans VL '!E13)/100/3.6*1000000</f>
        <v>0</v>
      </c>
      <c r="K8" s="33"/>
      <c r="L8" s="33"/>
      <c r="M8" s="33"/>
      <c r="N8" s="33">
        <f>$C$28*'E Balans VL '!Y13/100/3.6*1000000</f>
        <v>2.113558368329727</v>
      </c>
      <c r="O8" s="33"/>
      <c r="P8" s="33"/>
      <c r="R8" s="32"/>
    </row>
    <row r="9" spans="1:18">
      <c r="A9" s="32" t="s">
        <v>50</v>
      </c>
      <c r="B9" s="37">
        <f t="shared" si="0"/>
        <v>419.64190943017798</v>
      </c>
      <c r="C9" s="33"/>
      <c r="D9" s="37">
        <f>IF(ISERROR(TER_gezond_gas_kWh/1000),0,TER_gezond_gas_kWh/1000)*0.902</f>
        <v>736.9904004205664</v>
      </c>
      <c r="E9" s="33">
        <f>$C$29*'E Balans VL '!I10/100/3.6*1000000</f>
        <v>2.6273726745669627E-2</v>
      </c>
      <c r="F9" s="33">
        <f>$C$29*('E Balans VL '!L10+'E Balans VL '!N10)/100/3.6*1000000</f>
        <v>62.339083333786597</v>
      </c>
      <c r="G9" s="34"/>
      <c r="H9" s="33"/>
      <c r="I9" s="33"/>
      <c r="J9" s="33">
        <f>$C$29*('E Balans VL '!D10+'E Balans VL '!E10)/100/3.6*1000000</f>
        <v>0</v>
      </c>
      <c r="K9" s="33"/>
      <c r="L9" s="33"/>
      <c r="M9" s="33"/>
      <c r="N9" s="33">
        <f>$C$29*'E Balans VL '!Y10/100/3.6*1000000</f>
        <v>6.4910615470489903</v>
      </c>
      <c r="O9" s="33"/>
      <c r="P9" s="33"/>
      <c r="R9" s="32"/>
    </row>
    <row r="10" spans="1:18">
      <c r="A10" s="32" t="s">
        <v>49</v>
      </c>
      <c r="B10" s="37">
        <f t="shared" si="0"/>
        <v>394.791603022532</v>
      </c>
      <c r="C10" s="33"/>
      <c r="D10" s="37">
        <f>IF(ISERROR(TER_ander_gas_kWh/1000),0,TER_ander_gas_kWh/1000)*0.902</f>
        <v>1143.0690113314959</v>
      </c>
      <c r="E10" s="33">
        <f>$C$30*'E Balans VL '!I14/100/3.6*1000000</f>
        <v>0.47057748333470933</v>
      </c>
      <c r="F10" s="33">
        <f>$C$30*('E Balans VL '!L14+'E Balans VL '!N14)/100/3.6*1000000</f>
        <v>103.29503440684964</v>
      </c>
      <c r="G10" s="34"/>
      <c r="H10" s="33"/>
      <c r="I10" s="33"/>
      <c r="J10" s="33">
        <f>$C$30*('E Balans VL '!D14+'E Balans VL '!E14)/100/3.6*1000000</f>
        <v>8.5693781612659423E-3</v>
      </c>
      <c r="K10" s="33"/>
      <c r="L10" s="33"/>
      <c r="M10" s="33"/>
      <c r="N10" s="33">
        <f>$C$30*'E Balans VL '!Y14/100/3.6*1000000</f>
        <v>335.24736887218819</v>
      </c>
      <c r="O10" s="33"/>
      <c r="P10" s="33"/>
      <c r="R10" s="32"/>
    </row>
    <row r="11" spans="1:18">
      <c r="A11" s="32" t="s">
        <v>54</v>
      </c>
      <c r="B11" s="37">
        <f t="shared" si="0"/>
        <v>449.261209148955</v>
      </c>
      <c r="C11" s="33"/>
      <c r="D11" s="37">
        <f>IF(ISERROR(TER_onderwijs_gas_kWh/1000),0,TER_onderwijs_gas_kWh/1000)*0.902</f>
        <v>147.79145612297953</v>
      </c>
      <c r="E11" s="33">
        <f>$C$31*'E Balans VL '!I11/100/3.6*1000000</f>
        <v>6.7786280420731151</v>
      </c>
      <c r="F11" s="33">
        <f>$C$31*('E Balans VL '!L11+'E Balans VL '!N11)/100/3.6*1000000</f>
        <v>78.717741004231215</v>
      </c>
      <c r="G11" s="34"/>
      <c r="H11" s="33"/>
      <c r="I11" s="33"/>
      <c r="J11" s="33">
        <f>$C$31*('E Balans VL '!D11+'E Balans VL '!E11)/100/3.6*1000000</f>
        <v>0</v>
      </c>
      <c r="K11" s="33"/>
      <c r="L11" s="33"/>
      <c r="M11" s="33"/>
      <c r="N11" s="33">
        <f>$C$31*'E Balans VL '!Y11/100/3.6*1000000</f>
        <v>1.2642551966829323</v>
      </c>
      <c r="O11" s="33"/>
      <c r="P11" s="33"/>
      <c r="R11" s="32"/>
    </row>
    <row r="12" spans="1:18">
      <c r="A12" s="32" t="s">
        <v>254</v>
      </c>
      <c r="B12" s="37">
        <f t="shared" si="0"/>
        <v>2373.9009208654502</v>
      </c>
      <c r="C12" s="33"/>
      <c r="D12" s="37">
        <f>IF(ISERROR(TER_rest_gas_kWh/1000),0,TER_rest_gas_kWh/1000)*0.902</f>
        <v>7483.1893001406424</v>
      </c>
      <c r="E12" s="33">
        <f>$C$32*'E Balans VL '!I8/100/3.6*1000000</f>
        <v>29.479059767310257</v>
      </c>
      <c r="F12" s="33">
        <f>$C$32*('E Balans VL '!L8+'E Balans VL '!N8)/100/3.6*1000000</f>
        <v>410.50609811185018</v>
      </c>
      <c r="G12" s="34"/>
      <c r="H12" s="33"/>
      <c r="I12" s="33"/>
      <c r="J12" s="33">
        <f>$C$32*('E Balans VL '!D8+'E Balans VL '!E8)/100/3.6*1000000</f>
        <v>5.7484609888693245E-3</v>
      </c>
      <c r="K12" s="33"/>
      <c r="L12" s="33"/>
      <c r="M12" s="33"/>
      <c r="N12" s="33">
        <f>$C$32*'E Balans VL '!Y8/100/3.6*1000000</f>
        <v>229.86638012814959</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8466.8356496561155</v>
      </c>
      <c r="C16" s="21">
        <f t="shared" ca="1" si="1"/>
        <v>0</v>
      </c>
      <c r="D16" s="21">
        <f t="shared" ca="1" si="1"/>
        <v>18583.722750338318</v>
      </c>
      <c r="E16" s="21">
        <f t="shared" si="1"/>
        <v>96.893815464152325</v>
      </c>
      <c r="F16" s="21">
        <f t="shared" ca="1" si="1"/>
        <v>1437.2643850861689</v>
      </c>
      <c r="G16" s="21">
        <f t="shared" si="1"/>
        <v>0</v>
      </c>
      <c r="H16" s="21">
        <f t="shared" si="1"/>
        <v>0</v>
      </c>
      <c r="I16" s="21">
        <f t="shared" si="1"/>
        <v>0</v>
      </c>
      <c r="J16" s="21">
        <f t="shared" si="1"/>
        <v>1.4317839150135268E-2</v>
      </c>
      <c r="K16" s="21">
        <f t="shared" si="1"/>
        <v>0</v>
      </c>
      <c r="L16" s="21">
        <f t="shared" ca="1" si="1"/>
        <v>0</v>
      </c>
      <c r="M16" s="21">
        <f t="shared" si="1"/>
        <v>0</v>
      </c>
      <c r="N16" s="21">
        <f t="shared" ca="1" si="1"/>
        <v>577.91858506034077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0.21599727827751716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1828.8134559487748</v>
      </c>
      <c r="C20" s="23">
        <f t="shared" ref="C20:P20" ca="1" si="2">C16*C18</f>
        <v>0</v>
      </c>
      <c r="D20" s="23">
        <f t="shared" ca="1" si="2"/>
        <v>3753.9119955683404</v>
      </c>
      <c r="E20" s="23">
        <f t="shared" si="2"/>
        <v>21.994896110362578</v>
      </c>
      <c r="F20" s="23">
        <f t="shared" ca="1" si="2"/>
        <v>383.74959081800711</v>
      </c>
      <c r="G20" s="23">
        <f t="shared" si="2"/>
        <v>0</v>
      </c>
      <c r="H20" s="23">
        <f t="shared" si="2"/>
        <v>0</v>
      </c>
      <c r="I20" s="23">
        <f t="shared" si="2"/>
        <v>0</v>
      </c>
      <c r="J20" s="23">
        <f t="shared" si="2"/>
        <v>5.0685150591478845E-3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2969.6027865553096</v>
      </c>
      <c r="C26" s="39">
        <f>IF(ISERROR(B26*3.6/1000000/'E Balans VL '!Z12*100),0,B26*3.6/1000000/'E Balans VL '!Z12*100)</f>
        <v>6.2772698676980765E-2</v>
      </c>
      <c r="D26" s="233" t="s">
        <v>732</v>
      </c>
      <c r="F26" s="6"/>
    </row>
    <row r="27" spans="1:18">
      <c r="A27" s="228" t="s">
        <v>52</v>
      </c>
      <c r="B27" s="33">
        <f>IF(ISERROR(TER_horeca_ele_kWh/1000),0,TER_horeca_ele_kWh/1000)</f>
        <v>333.85577538006004</v>
      </c>
      <c r="C27" s="39">
        <f>IF(ISERROR(B27*3.6/1000000/'E Balans VL '!Z9*100),0,B27*3.6/1000000/'E Balans VL '!Z9*100)</f>
        <v>2.6317726338810042E-2</v>
      </c>
      <c r="D27" s="233" t="s">
        <v>732</v>
      </c>
      <c r="F27" s="6"/>
    </row>
    <row r="28" spans="1:18">
      <c r="A28" s="168" t="s">
        <v>51</v>
      </c>
      <c r="B28" s="33">
        <f>IF(ISERROR(TER_handel_ele_kWh/1000),0,TER_handel_ele_kWh/1000)</f>
        <v>1525.78144525363</v>
      </c>
      <c r="C28" s="39">
        <f>IF(ISERROR(B28*3.6/1000000/'E Balans VL '!Z13*100),0,B28*3.6/1000000/'E Balans VL '!Z13*100)</f>
        <v>4.4284342389108E-2</v>
      </c>
      <c r="D28" s="233" t="s">
        <v>732</v>
      </c>
      <c r="F28" s="6"/>
    </row>
    <row r="29" spans="1:18">
      <c r="A29" s="228" t="s">
        <v>50</v>
      </c>
      <c r="B29" s="33">
        <f>IF(ISERROR(TER_gezond_ele_kWh/1000),0,TER_gezond_ele_kWh/1000)</f>
        <v>419.64190943017798</v>
      </c>
      <c r="C29" s="39">
        <f>IF(ISERROR(B29*3.6/1000000/'E Balans VL '!Z10*100),0,B29*3.6/1000000/'E Balans VL '!Z10*100)</f>
        <v>4.4195183765038483E-2</v>
      </c>
      <c r="D29" s="233" t="s">
        <v>732</v>
      </c>
      <c r="F29" s="6"/>
    </row>
    <row r="30" spans="1:18">
      <c r="A30" s="228" t="s">
        <v>49</v>
      </c>
      <c r="B30" s="33">
        <f>IF(ISERROR(TER_ander_ele_kWh/1000),0,TER_ander_ele_kWh/1000)</f>
        <v>394.791603022532</v>
      </c>
      <c r="C30" s="39">
        <f>IF(ISERROR(B30*3.6/1000000/'E Balans VL '!Z14*100),0,B30*3.6/1000000/'E Balans VL '!Z14*100)</f>
        <v>2.9119914387251592E-2</v>
      </c>
      <c r="D30" s="233" t="s">
        <v>732</v>
      </c>
      <c r="F30" s="6"/>
    </row>
    <row r="31" spans="1:18">
      <c r="A31" s="228" t="s">
        <v>54</v>
      </c>
      <c r="B31" s="33">
        <f>IF(ISERROR(TER_onderwijs_ele_kWh/1000),0,TER_onderwijs_ele_kWh/1000)</f>
        <v>449.261209148955</v>
      </c>
      <c r="C31" s="39">
        <f>IF(ISERROR(B31*3.6/1000000/'E Balans VL '!Z11*100),0,B31*3.6/1000000/'E Balans VL '!Z11*100)</f>
        <v>0.11157260286608393</v>
      </c>
      <c r="D31" s="233" t="s">
        <v>732</v>
      </c>
    </row>
    <row r="32" spans="1:18">
      <c r="A32" s="228" t="s">
        <v>254</v>
      </c>
      <c r="B32" s="33">
        <f>IF(ISERROR(TER_rest_ele_kWh/1000),0,TER_rest_ele_kWh/1000)</f>
        <v>2373.9009208654502</v>
      </c>
      <c r="C32" s="39">
        <f>IF(ISERROR(B32*3.6/1000000/'E Balans VL '!Z8*100),0,B32*3.6/1000000/'E Balans VL '!Z8*100)</f>
        <v>1.9534053545561043E-2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417.05852946409595</v>
      </c>
      <c r="C5" s="17">
        <f>IF(ISERROR('Eigen informatie GS &amp; warmtenet'!B59),0,'Eigen informatie GS &amp; warmtenet'!B59)</f>
        <v>0</v>
      </c>
      <c r="D5" s="30">
        <f>SUM(D6:D15)</f>
        <v>960.92505779148382</v>
      </c>
      <c r="E5" s="17">
        <f>SUM(E6:E15)</f>
        <v>64.712512589525502</v>
      </c>
      <c r="F5" s="17">
        <f>SUM(F6:F15)</f>
        <v>190.17609430220412</v>
      </c>
      <c r="G5" s="18"/>
      <c r="H5" s="17"/>
      <c r="I5" s="17"/>
      <c r="J5" s="17">
        <f>SUM(J6:J15)</f>
        <v>0.38601384498418767</v>
      </c>
      <c r="K5" s="17"/>
      <c r="L5" s="17"/>
      <c r="M5" s="17"/>
      <c r="N5" s="17">
        <f>SUM(N6:N15)</f>
        <v>26.285131542864377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82.069000000000003</v>
      </c>
      <c r="C8" s="33"/>
      <c r="D8" s="37">
        <f>IF( ISERROR(IND_metaal_Gas_kWH/1000),0,IND_metaal_Gas_kWH/1000)*0.902</f>
        <v>0</v>
      </c>
      <c r="E8" s="33">
        <f>C30*'E Balans VL '!I18/100/3.6*1000000</f>
        <v>0.75454519200600656</v>
      </c>
      <c r="F8" s="33">
        <f>C30*'E Balans VL '!L18/100/3.6*1000000+C30*'E Balans VL '!N18/100/3.6*1000000</f>
        <v>7.6953398464086424</v>
      </c>
      <c r="G8" s="34"/>
      <c r="H8" s="33"/>
      <c r="I8" s="33"/>
      <c r="J8" s="40">
        <f>C30*'E Balans VL '!D18/100/3.6*1000000+C30*'E Balans VL '!E18/100/3.6*1000000</f>
        <v>0</v>
      </c>
      <c r="K8" s="33"/>
      <c r="L8" s="33"/>
      <c r="M8" s="33"/>
      <c r="N8" s="33">
        <f>C30*'E Balans VL '!Y18/100/3.6*1000000</f>
        <v>1.1708499097337997</v>
      </c>
      <c r="O8" s="33"/>
      <c r="P8" s="33"/>
      <c r="R8" s="32"/>
    </row>
    <row r="9" spans="1:18">
      <c r="A9" s="6" t="s">
        <v>32</v>
      </c>
      <c r="B9" s="37">
        <f t="shared" si="0"/>
        <v>198.218192693302</v>
      </c>
      <c r="C9" s="33"/>
      <c r="D9" s="37">
        <f>IF( ISERROR(IND_andere_gas_kWh/1000),0,IND_andere_gas_kWh/1000)*0.902</f>
        <v>528.01845031868993</v>
      </c>
      <c r="E9" s="33">
        <f>C31*'E Balans VL '!I19/100/3.6*1000000</f>
        <v>57.943036577314821</v>
      </c>
      <c r="F9" s="33">
        <f>C31*'E Balans VL '!L19/100/3.6*1000000+C31*'E Balans VL '!N19/100/3.6*1000000</f>
        <v>159.28332156762272</v>
      </c>
      <c r="G9" s="34"/>
      <c r="H9" s="33"/>
      <c r="I9" s="33"/>
      <c r="J9" s="40">
        <f>C31*'E Balans VL '!D19/100/3.6*1000000+C31*'E Balans VL '!E19/100/3.6*1000000</f>
        <v>0</v>
      </c>
      <c r="K9" s="33"/>
      <c r="L9" s="33"/>
      <c r="M9" s="33"/>
      <c r="N9" s="33">
        <f>C31*'E Balans VL '!Y19/100/3.6*1000000</f>
        <v>15.547965821083796</v>
      </c>
      <c r="O9" s="33"/>
      <c r="P9" s="33"/>
      <c r="R9" s="32"/>
    </row>
    <row r="10" spans="1:18">
      <c r="A10" s="6" t="s">
        <v>40</v>
      </c>
      <c r="B10" s="37">
        <f t="shared" si="0"/>
        <v>28.945667676666901</v>
      </c>
      <c r="C10" s="33"/>
      <c r="D10" s="37">
        <f>IF( ISERROR(IND_voed_gas_kWh/1000),0,IND_voed_gas_kWh/1000)*0.902</f>
        <v>0</v>
      </c>
      <c r="E10" s="33">
        <f>C32*'E Balans VL '!I20/100/3.6*1000000</f>
        <v>6.123500877788178E-2</v>
      </c>
      <c r="F10" s="33">
        <f>C32*'E Balans VL '!L20/100/3.6*1000000+C32*'E Balans VL '!N20/100/3.6*1000000</f>
        <v>1.8403951180149707</v>
      </c>
      <c r="G10" s="34"/>
      <c r="H10" s="33"/>
      <c r="I10" s="33"/>
      <c r="J10" s="40">
        <f>C32*'E Balans VL '!D20/100/3.6*1000000+C32*'E Balans VL '!E20/100/3.6*1000000</f>
        <v>0</v>
      </c>
      <c r="K10" s="33"/>
      <c r="L10" s="33"/>
      <c r="M10" s="33"/>
      <c r="N10" s="33">
        <f>C32*'E Balans VL '!Y20/100/3.6*1000000</f>
        <v>1.9975367125182129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107.82566909412701</v>
      </c>
      <c r="C15" s="33"/>
      <c r="D15" s="37">
        <f>IF( ISERROR(IND_rest_gas_kWh/1000),0,IND_rest_gas_kWh/1000)*0.902</f>
        <v>432.90660747279395</v>
      </c>
      <c r="E15" s="33">
        <f>C37*'E Balans VL '!I15/100/3.6*1000000</f>
        <v>5.9536958114267948</v>
      </c>
      <c r="F15" s="33">
        <f>C37*'E Balans VL '!L15/100/3.6*1000000+C37*'E Balans VL '!N15/100/3.6*1000000</f>
        <v>21.357037770157763</v>
      </c>
      <c r="G15" s="34"/>
      <c r="H15" s="33"/>
      <c r="I15" s="33"/>
      <c r="J15" s="40">
        <f>C37*'E Balans VL '!D15/100/3.6*1000000+C37*'E Balans VL '!E15/100/3.6*1000000</f>
        <v>0.38601384498418767</v>
      </c>
      <c r="K15" s="33"/>
      <c r="L15" s="33"/>
      <c r="M15" s="33"/>
      <c r="N15" s="33">
        <f>C37*'E Balans VL '!Y15/100/3.6*1000000</f>
        <v>7.5687790995285704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417.05852946409595</v>
      </c>
      <c r="C18" s="21">
        <f>C5+C16</f>
        <v>0</v>
      </c>
      <c r="D18" s="21">
        <f>MAX((D5+D16),0)</f>
        <v>960.92505779148382</v>
      </c>
      <c r="E18" s="21">
        <f>MAX((E5+E16),0)</f>
        <v>64.712512589525502</v>
      </c>
      <c r="F18" s="21">
        <f>MAX((F5+F16),0)</f>
        <v>190.17609430220412</v>
      </c>
      <c r="G18" s="21"/>
      <c r="H18" s="21"/>
      <c r="I18" s="21"/>
      <c r="J18" s="21">
        <f>MAX((J5+J16),0)</f>
        <v>0.38601384498418767</v>
      </c>
      <c r="K18" s="21"/>
      <c r="L18" s="21">
        <f>MAX((L5+L16),0)</f>
        <v>0</v>
      </c>
      <c r="M18" s="21"/>
      <c r="N18" s="21">
        <f>MAX((N5+N16),0)</f>
        <v>26.285131542864377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0.21599727827751716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90.083507246668418</v>
      </c>
      <c r="C22" s="23">
        <f ca="1">C18*C20</f>
        <v>0</v>
      </c>
      <c r="D22" s="23">
        <f>D18*D20</f>
        <v>194.10686167387973</v>
      </c>
      <c r="E22" s="23">
        <f>E18*E20</f>
        <v>14.68974035782229</v>
      </c>
      <c r="F22" s="23">
        <f>F18*F20</f>
        <v>50.777017178688503</v>
      </c>
      <c r="G22" s="23"/>
      <c r="H22" s="23"/>
      <c r="I22" s="23"/>
      <c r="J22" s="23">
        <f>J18*J20</f>
        <v>0.13664890112440242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82.069000000000003</v>
      </c>
      <c r="C30" s="39">
        <f>IF(ISERROR(B30*3.6/1000000/'E Balans VL '!Z18*100),0,B30*3.6/1000000/'E Balans VL '!Z18*100)</f>
        <v>4.6510606686797082E-3</v>
      </c>
      <c r="D30" s="233" t="s">
        <v>732</v>
      </c>
    </row>
    <row r="31" spans="1:18">
      <c r="A31" s="6" t="s">
        <v>32</v>
      </c>
      <c r="B31" s="37">
        <f>IF( ISERROR(IND_ander_ele_kWh/1000),0,IND_ander_ele_kWh/1000)</f>
        <v>198.218192693302</v>
      </c>
      <c r="C31" s="39">
        <f>IF(ISERROR(B31*3.6/1000000/'E Balans VL '!Z19*100),0,B31*3.6/1000000/'E Balans VL '!Z19*100)</f>
        <v>8.9903518543790507E-3</v>
      </c>
      <c r="D31" s="233" t="s">
        <v>732</v>
      </c>
    </row>
    <row r="32" spans="1:18">
      <c r="A32" s="168" t="s">
        <v>40</v>
      </c>
      <c r="B32" s="37">
        <f>IF( ISERROR(IND_voed_ele_kWh/1000),0,IND_voed_ele_kWh/1000)</f>
        <v>28.945667676666901</v>
      </c>
      <c r="C32" s="39">
        <f>IF(ISERROR(B32*3.6/1000000/'E Balans VL '!Z20*100),0,B32*3.6/1000000/'E Balans VL '!Z20*100)</f>
        <v>8.9542090347554673E-4</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107.82566909412701</v>
      </c>
      <c r="C37" s="39">
        <f>IF(ISERROR(B37*3.6/1000000/'E Balans VL '!Z15*100),0,B37*3.6/1000000/'E Balans VL '!Z15*100)</f>
        <v>8.5465085008662282E-4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91.800435764051997</v>
      </c>
      <c r="C5" s="17">
        <f>'Eigen informatie GS &amp; warmtenet'!B60</f>
        <v>0</v>
      </c>
      <c r="D5" s="30">
        <f>IF(ISERROR(SUM(LB_lb_gas_kWh,LB_rest_gas_kWh)/1000),0,SUM(LB_lb_gas_kWh,LB_rest_gas_kWh)/1000)*0.902</f>
        <v>43.124589954893061</v>
      </c>
      <c r="E5" s="17">
        <f>B17*'E Balans VL '!I25/3.6*1000000/100</f>
        <v>2.6982951979994492</v>
      </c>
      <c r="F5" s="17">
        <f>B17*('E Balans VL '!L25/3.6*1000000+'E Balans VL '!N25/3.6*1000000)/100</f>
        <v>382.4356547578642</v>
      </c>
      <c r="G5" s="18"/>
      <c r="H5" s="17"/>
      <c r="I5" s="17"/>
      <c r="J5" s="17">
        <f>('E Balans VL '!D25+'E Balans VL '!E25)/3.6*1000000*landbouw!B17/100</f>
        <v>13.299911705286288</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91.800435764051997</v>
      </c>
      <c r="C8" s="21">
        <f>C5+C6</f>
        <v>0</v>
      </c>
      <c r="D8" s="21">
        <f>MAX((D5+D6),0)</f>
        <v>43.124589954893061</v>
      </c>
      <c r="E8" s="21">
        <f>MAX((E5+E6),0)</f>
        <v>2.6982951979994492</v>
      </c>
      <c r="F8" s="21">
        <f>MAX((F5+F6),0)</f>
        <v>382.4356547578642</v>
      </c>
      <c r="G8" s="21"/>
      <c r="H8" s="21"/>
      <c r="I8" s="21"/>
      <c r="J8" s="21">
        <f>MAX((J5+J6),0)</f>
        <v>13.299911705286288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0.21599727827751716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19.828644269725277</v>
      </c>
      <c r="C12" s="23">
        <f ca="1">C8*C10</f>
        <v>0</v>
      </c>
      <c r="D12" s="23">
        <f>D8*D10</f>
        <v>8.7111671708883982</v>
      </c>
      <c r="E12" s="23">
        <f>E8*E10</f>
        <v>0.61251300994587499</v>
      </c>
      <c r="F12" s="23">
        <f>F8*F10</f>
        <v>102.11031982034974</v>
      </c>
      <c r="G12" s="23"/>
      <c r="H12" s="23"/>
      <c r="I12" s="23"/>
      <c r="J12" s="23">
        <f>J8*J10</f>
        <v>4.7081687436713455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1.3026769850002626E-2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1.0920000000000001</v>
      </c>
      <c r="C26" s="243">
        <f>B26*'GWP N2O_CH4'!B5</f>
        <v>22.932000000000002</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8.7089999999999987E-2</v>
      </c>
      <c r="C27" s="243">
        <f>B27*'GWP N2O_CH4'!B5</f>
        <v>1.8288899999999997</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5.3865141400011307E-3</v>
      </c>
      <c r="C28" s="243">
        <f>B28*'GWP N2O_CH4'!B4</f>
        <v>1.6698193834003505</v>
      </c>
      <c r="D28" s="50"/>
    </row>
    <row r="29" spans="1:4">
      <c r="A29" s="41" t="s">
        <v>271</v>
      </c>
      <c r="B29" s="243">
        <f>B34*'ha_N2O bodem landbouw'!B4</f>
        <v>0.62635576186580322</v>
      </c>
      <c r="C29" s="243">
        <f>B29*'GWP N2O_CH4'!B4</f>
        <v>194.17028617839901</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1.4293222633979475E-4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2.3767237942259834E-4</v>
      </c>
      <c r="C5" s="431" t="s">
        <v>210</v>
      </c>
      <c r="D5" s="416">
        <f>SUM(D6:D11)</f>
        <v>3.5995461170620804E-4</v>
      </c>
      <c r="E5" s="416">
        <f>SUM(E6:E11)</f>
        <v>7.1392889423326129E-4</v>
      </c>
      <c r="F5" s="429" t="s">
        <v>210</v>
      </c>
      <c r="G5" s="416">
        <f>SUM(G6:G11)</f>
        <v>0.27758637446272078</v>
      </c>
      <c r="H5" s="416">
        <f>SUM(H6:H11)</f>
        <v>5.9476388459687987E-2</v>
      </c>
      <c r="I5" s="431" t="s">
        <v>210</v>
      </c>
      <c r="J5" s="431" t="s">
        <v>210</v>
      </c>
      <c r="K5" s="431" t="s">
        <v>210</v>
      </c>
      <c r="L5" s="431" t="s">
        <v>210</v>
      </c>
      <c r="M5" s="416">
        <f>SUM(M6:M11)</f>
        <v>1.7969107907849943E-2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3.1431731434136346E-5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5.2842267788935937E-5</v>
      </c>
      <c r="E6" s="859">
        <f>vkm_GW_PW*SUMIFS(TableVerdeelsleutelVkm[LPG],TableVerdeelsleutelVkm[Voertuigtype],"Lichte voertuigen")*SUMIFS(TableECFTransport[EnergieConsumptieFactor (PJ per km)],TableECFTransport[Index],CONCATENATE($A6,"_LPG_LPG"))</f>
        <v>9.2976422863751744E-5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2.7585835464475749E-2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8.537387168558697E-3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1.8630623039773855E-3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1.6686820083251744E-7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5.3598764622341194E-3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8.7449529225674913E-8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3.1315369738043198E-4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3.7239724138595408E-5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8.0275346278522119E-5</v>
      </c>
      <c r="E8" s="419">
        <f>vkm_NGW_PW*SUMIFS(TableVerdeelsleutelVkm[LPG],TableVerdeelsleutelVkm[Voertuigtype],"Lichte voertuigen")*SUMIFS(TableECFTransport[EnergieConsumptieFactor (PJ per km)],TableECFTransport[Index],CONCATENATE($A8,"_LPG_LPG"))</f>
        <v>1.3525487989633089E-4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3.7318079650880361E-2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1.2702911368194928E-2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2.554310828777264E-3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1.8299643224731361E-8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7.5417630888367185E-4</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1.1575585345986842E-8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4.4063139549749694E-5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1.6637422395954915E-4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2.2683699763874999E-4</v>
      </c>
      <c r="E10" s="419">
        <f>vkm_SW_PW*SUMIFS(TableVerdeelsleutelVkm[LPG],TableVerdeelsleutelVkm[Voertuigtype],"Lichte voertuigen")*SUMIFS(TableECFTransport[EnergieConsumptieFactor (PJ per km)],TableECFTransport[Index],CONCATENATE($A10,"_LPG_LPG"))</f>
        <v>4.8569759147317864E-4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0.13187176287642235</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3.8234673925155116E-2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8.8303230119898234E-3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2.4415320462601842E-6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7.4696643699824511E-2</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1.3169726646721196E-6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4.3641949261752884E-3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66.020105395166212</v>
      </c>
      <c r="C14" s="21"/>
      <c r="D14" s="21">
        <f t="shared" ref="D14:M14" si="0">((D5)*10^9/3600)+D12</f>
        <v>99.987392140613338</v>
      </c>
      <c r="E14" s="21">
        <f t="shared" si="0"/>
        <v>198.31358173146145</v>
      </c>
      <c r="F14" s="21"/>
      <c r="G14" s="21">
        <f t="shared" si="0"/>
        <v>77107.326239644652</v>
      </c>
      <c r="H14" s="21">
        <f t="shared" si="0"/>
        <v>16521.219016579995</v>
      </c>
      <c r="I14" s="21"/>
      <c r="J14" s="21"/>
      <c r="K14" s="21"/>
      <c r="L14" s="21"/>
      <c r="M14" s="21">
        <f t="shared" si="0"/>
        <v>4991.4188632916503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0.21599727827751716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14.260163076950729</v>
      </c>
      <c r="C18" s="23"/>
      <c r="D18" s="23">
        <f t="shared" ref="D18:M18" si="1">D14*D16</f>
        <v>20.197453212403897</v>
      </c>
      <c r="E18" s="23">
        <f t="shared" si="1"/>
        <v>45.017183053041748</v>
      </c>
      <c r="F18" s="23"/>
      <c r="G18" s="23">
        <f t="shared" si="1"/>
        <v>20587.656105985123</v>
      </c>
      <c r="H18" s="23">
        <f t="shared" si="1"/>
        <v>4113.7835351284184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2.1120062003598986E-5</v>
      </c>
      <c r="C50" s="313">
        <f t="shared" ref="C50:P50" si="2">SUM(C51:C52)</f>
        <v>0</v>
      </c>
      <c r="D50" s="313">
        <f t="shared" si="2"/>
        <v>0</v>
      </c>
      <c r="E50" s="313">
        <f t="shared" si="2"/>
        <v>0</v>
      </c>
      <c r="F50" s="313">
        <f t="shared" si="2"/>
        <v>0</v>
      </c>
      <c r="G50" s="313">
        <f t="shared" si="2"/>
        <v>1.9840201896957677E-3</v>
      </c>
      <c r="H50" s="313">
        <f t="shared" si="2"/>
        <v>0</v>
      </c>
      <c r="I50" s="313">
        <f t="shared" si="2"/>
        <v>0</v>
      </c>
      <c r="J50" s="313">
        <f t="shared" si="2"/>
        <v>0</v>
      </c>
      <c r="K50" s="313">
        <f t="shared" si="2"/>
        <v>0</v>
      </c>
      <c r="L50" s="313">
        <f t="shared" si="2"/>
        <v>0</v>
      </c>
      <c r="M50" s="313">
        <f t="shared" si="2"/>
        <v>1.1425376567216385E-4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2.1120062003598986E-5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1.9840201896957677E-3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1.1425376567216385E-4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5.8666838898886073</v>
      </c>
      <c r="C54" s="21">
        <f t="shared" ref="C54:P54" si="3">(C50)*10^9/3600</f>
        <v>0</v>
      </c>
      <c r="D54" s="21">
        <f t="shared" si="3"/>
        <v>0</v>
      </c>
      <c r="E54" s="21">
        <f t="shared" si="3"/>
        <v>0</v>
      </c>
      <c r="F54" s="21">
        <f t="shared" si="3"/>
        <v>0</v>
      </c>
      <c r="G54" s="21">
        <f t="shared" si="3"/>
        <v>551.11671935993547</v>
      </c>
      <c r="H54" s="21">
        <f t="shared" si="3"/>
        <v>0</v>
      </c>
      <c r="I54" s="21">
        <f t="shared" si="3"/>
        <v>0</v>
      </c>
      <c r="J54" s="21">
        <f t="shared" si="3"/>
        <v>0</v>
      </c>
      <c r="K54" s="21">
        <f t="shared" si="3"/>
        <v>0</v>
      </c>
      <c r="L54" s="21">
        <f t="shared" si="3"/>
        <v>0</v>
      </c>
      <c r="M54" s="21">
        <f t="shared" si="3"/>
        <v>31.737157131156625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0.21599727827751716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1.2671877527304964</v>
      </c>
      <c r="C58" s="23">
        <f t="shared" ref="C58:P58" ca="1" si="4">C54*C56</f>
        <v>0</v>
      </c>
      <c r="D58" s="23">
        <f t="shared" si="4"/>
        <v>0</v>
      </c>
      <c r="E58" s="23">
        <f t="shared" si="4"/>
        <v>0</v>
      </c>
      <c r="F58" s="23">
        <f t="shared" si="4"/>
        <v>0</v>
      </c>
      <c r="G58" s="23">
        <f t="shared" si="4"/>
        <v>147.14816406910279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730.94583989242972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730.94583989242972</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2021-06-29T15:38:54Z</dcterms:modified>
</cp:coreProperties>
</file>