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<sst xmlns="http://schemas.openxmlformats.org/spreadsheetml/2006/main" count="2476" uniqueCount="902">
  <si>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</si>
  <si>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</si>
  <si>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</si>
  <si>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</si>
  <si>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</si>
  <si>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</si>
  <si>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</si>
  <si>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</si>
  <si>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</si>
  <si>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</si>
  <si>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</si>
  <si>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</si>
  <si>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</si>
  <si>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</si>
  <si>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</si>
  <si>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</si>
  <si>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</si>
  <si>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</si>
  <si>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</si>
  <si>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</si>
  <si>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</si>
  <si>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</si>
  <si>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</si>
  <si>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</si>
  <si>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</si>
  <si>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</si>
  <si>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</si>
  <si>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</si>
  <si>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</si>
  <si>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</si>
  <si>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</si>
  <si>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</si>
  <si>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</si>
  <si>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</si>
  <si>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</si>
  <si>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</si>
  <si>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</si>
  <si>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</si>
  <si>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</si>
  <si>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</si>
  <si>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</si>
  <si>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</si>
  <si>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</si>
  <si>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</si>
  <si>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</si>
  <si>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</si>
  <si>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</si>
  <si>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</si>
  <si>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</si>
  <si>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</si>
  <si>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</si>
  <si>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</si>
  <si>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</si>
  <si>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</si>
  <si>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</si>
  <si>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</si>
  <si>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</si>
  <si>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</si>
  <si>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</si>
  <si>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</si>
  <si>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</si>
  <si>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</si>
  <si>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</si>
  <si>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</si>
  <si>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</si>
  <si>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</si>
  <si>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</si>
  <si>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</si>
  <si>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</si>
  <si>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</si>
  <si>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</si>
  <si>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</si>
  <si>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</si>
  <si>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</si>
  <si>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</si>
  <si>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</si>
  <si>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</si>
  <si>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</si>
  <si>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</si>
  <si>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</si>
  <si>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</si>
  <si>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</si>
  <si>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</si>
  <si>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</si>
  <si>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</si>
  <si>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</si>
  <si>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</si>
  <si>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</si>
  <si>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</si>
  <si>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</si>
  <si>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</si>
  <si>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</si>
  <si>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</si>
  <si>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</si>
  <si>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</si>
  <si>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</si>
  <si>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</si>
  <si>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</si>
  <si>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</si>
  <si>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</si>
  <si>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</si>
  <si>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</si>
  <si>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</si>
  <si>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</si>
  <si>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</si>
  <si>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</si>
  <si>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</si>
  <si>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</si>
  <si>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</si>
  <si>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</si>
  <si>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</si>
  <si>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</si>
  <si>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</si>
  <si>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</si>
  <si>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</si>
  <si>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</si>
  <si>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</si>
  <si>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</si>
  <si>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</si>
  <si>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</si>
  <si>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</si>
  <si>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</si>
  <si>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</si>
  <si>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</si>
  <si>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</si>
  <si>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</si>
  <si>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</si>
  <si>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</si>
  <si>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</si>
  <si>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</si>
  <si>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</si>
  <si>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</si>
  <si>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</si>
  <si>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</si>
  <si>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</si>
  <si>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</si>
  <si>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</si>
  <si>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</si>
  <si>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</si>
  <si>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</si>
  <si>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</si>
  <si>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</si>
  <si>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</si>
  <si>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</si>
  <si>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</si>
  <si>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</si>
  <si>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</si>
  <si>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</si>
  <si>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</si>
  <si>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</si>
  <si>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</si>
  <si>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</si>
  <si>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</si>
  <si>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</si>
  <si>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</si>
  <si>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</si>
  <si>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</si>
  <si>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</si>
  <si>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</si>
  <si>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</si>
  <si>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</si>
  <si>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</si>
  <si>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</si>
  <si>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</si>
  <si>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</si>
  <si>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</si>
  <si>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</si>
  <si>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</si>
  <si>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</si>
  <si>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</si>
  <si>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</si>
  <si>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</si>
  <si>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</si>
  <si>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</si>
  <si>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</si>
  <si>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</si>
  <si>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</si>
  <si>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</si>
  <si>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</si>
  <si>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</si>
  <si>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</si>
  <si>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</si>
  <si>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</si>
  <si>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</si>
  <si>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</si>
  <si>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</si>
  <si>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</si>
  <si>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</si>
  <si>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</si>
  <si>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</si>
  <si>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</si>
  <si>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</si>
  <si>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</si>
  <si>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</si>
  <si>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</si>
  <si>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</si>
  <si>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</si>
  <si>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</si>
  <si>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</si>
  <si>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</si>
  <si>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</si>
  <si>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</si>
  <si>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</si>
  <si>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</si>
  <si>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</si>
  <si>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</si>
  <si>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</si>
  <si>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</si>
  <si>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</si>
  <si>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</si>
  <si>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</si>
  <si>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</si>
  <si>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</si>
  <si>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</si>
  <si>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</si>
  <si>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</si>
  <si>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</si>
  <si>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</si>
  <si>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</si>
  <si>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</si>
  <si>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</si>
  <si>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</si>
  <si>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</si>
  <si>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</si>
  <si>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</si>
  <si>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</si>
  <si>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</si>
  <si>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</si>
  <si>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</si>
  <si>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</si>
  <si>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</si>
  <si>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</si>
  <si>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</si>
  <si>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</si>
  <si>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</si>
  <si>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</si>
  <si>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</si>
  <si>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</si>
  <si>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</si>
  <si>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</si>
  <si>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</si>
  <si>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</si>
  <si>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</si>
  <si>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</si>
  <si>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</si>
  <si>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</si>
  <si>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</si>
  <si>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</si>
  <si>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</si>
  <si>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</si>
  <si>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</si>
  <si>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</si>
  <si>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</si>
  <si>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</si>
  <si>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</si>
  <si>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</si>
  <si>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</si>
  <si>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</si>
  <si>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</si>
  <si>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</si>
  <si>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</si>
  <si>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</si>
  <si>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</si>
  <si>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</si>
  <si>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</si>
  <si>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</si>
  <si>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</si>
  <si>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</si>
  <si>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</si>
  <si>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</si>
  <si>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</si>
  <si>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</si>
  <si>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</si>
  <si>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</si>
  <si>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</si>
  <si>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</si>
  <si>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</si>
  <si>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</si>
  <si>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</si>
  <si>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</si>
  <si>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</si>
  <si>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</si>
  <si>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</si>
  <si>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</si>
  <si>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</si>
  <si>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</si>
  <si>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</si>
  <si>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</si>
  <si>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</si>
  <si>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</si>
  <si>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</si>
  <si>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</si>
  <si>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</si>
  <si>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</si>
  <si>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</si>
  <si>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</si>
  <si>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</si>
  <si>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</si>
  <si>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</si>
  <si>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</si>
  <si>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</si>
  <si>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</si>
  <si>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</si>
  <si>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</si>
  <si>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</si>
  <si>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</si>
  <si>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</si>
  <si>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</si>
  <si>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</si>
  <si>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</si>
  <si>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</si>
  <si>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</si>
  <si>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</si>
  <si>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</si>
  <si>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</si>
  <si>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</si>
  <si>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</si>
  <si>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</si>
  <si>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</si>
  <si>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</si>
  <si>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</si>
  <si>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</si>
  <si>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</si>
  <si>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</si>
  <si>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</si>
  <si>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</si>
  <si>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</si>
  <si>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</si>
  <si>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</si>
  <si>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</si>
  <si>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</si>
  <si>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</si>
  <si>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</si>
  <si>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</si>
  <si>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</si>
  <si>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</si>
  <si>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</si>
  <si>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</si>
  <si>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</si>
  <si>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</si>
  <si>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</si>
  <si>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</si>
  <si>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</si>
  <si>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</si>
  <si>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</si>
  <si>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</si>
  <si>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</si>
  <si>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</si>
  <si>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</si>
  <si>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</si>
  <si>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</si>
  <si>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</si>
  <si>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</si>
  <si>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</si>
  <si>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</si>
  <si>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</si>
  <si>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</si>
  <si>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</si>
  <si>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</si>
  <si>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</si>
  <si>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</si>
  <si>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</si>
  <si>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</si>
  <si>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</si>
  <si>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</si>
  <si>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</si>
  <si>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</si>
  <si>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</si>
  <si>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</si>
  <si>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</si>
  <si>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</si>
  <si>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</si>
  <si>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</si>
  <si>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</si>
  <si>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</si>
  <si>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</si>
  <si>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</si>
  <si>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</si>
  <si>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</si>
  <si>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</si>
  <si>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</si>
  <si>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</si>
  <si>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</si>
  <si>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</si>
  <si>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</si>
  <si>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</si>
  <si>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</si>
  <si>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</si>
  <si>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</si>
  <si>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</si>
  <si>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</si>
  <si>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</si>
  <si>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</si>
  <si>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</si>
  <si>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</si>
  <si>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</si>
  <si>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</si>
  <si>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</si>
  <si>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</si>
  <si>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</si>
  <si>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</si>
  <si>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</si>
  <si>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</si>
  <si>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</si>
  <si>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</si>
  <si>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</si>
  <si>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</si>
  <si>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</si>
  <si>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</si>
  <si>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</si>
  <si>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</si>
  <si>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</si>
  <si>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</si>
  <si>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</si>
  <si>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</si>
  <si>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</si>
  <si>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</si>
  <si>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</si>
  <si>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</si>
  <si>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</si>
  <si>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</si>
  <si>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</si>
  <si>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</si>
  <si>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</si>
  <si>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</si>
  <si>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</si>
  <si>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</si>
  <si>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</si>
  <si>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</si>
  <si>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</si>
  <si>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</si>
  <si>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</si>
  <si>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</si>
  <si>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</si>
  <si>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</si>
  <si>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</si>
  <si>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</si>
  <si>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</si>
  <si>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</si>
  <si>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</si>
  <si>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</si>
  <si>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</si>
  <si>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</si>
  <si>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</si>
  <si>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</si>
  <si>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</si>
  <si>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</si>
  <si>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</si>
  <si>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</si>
  <si>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</si>
  <si>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</si>
  <si>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</si>
  <si>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</si>
  <si>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</si>
  <si>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</si>
  <si>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</si>
  <si>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</si>
  <si>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</si>
  <si>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</si>
  <si>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</si>
  <si>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</si>
  <si>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</si>
  <si>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</si>
  <si>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</si>
  <si>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</si>
  <si>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</si>
  <si>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</si>
  <si>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</si>
  <si>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</si>
  <si>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</si>
  <si>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</si>
  <si>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</si>
  <si>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</si>
  <si>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</si>
  <si>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</si>
  <si>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</si>
  <si>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</si>
  <si>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</si>
  <si>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</si>
  <si>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</si>
  <si>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</si>
  <si>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</si>
  <si>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</si>
  <si>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</si>
  <si>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</si>
  <si>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</si>
  <si>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</si>
  <si>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</si>
  <si>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</si>
  <si>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</si>
  <si>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</si>
  <si>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</si>
  <si>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</si>
  <si>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</si>
  <si>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</si>
  <si>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</si>
  <si>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</si>
  <si>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</si>
  <si>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</si>
  <si>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</si>
  <si>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</si>
  <si>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</si>
  <si>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</si>
  <si>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</si>
  <si>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</si>
  <si>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</si>
  <si>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</si>
  <si>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</si>
  <si>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</si>
  <si>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</si>
  <si>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</si>
  <si>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</si>
  <si>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</si>
  <si>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</si>
  <si>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</si>
  <si>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</si>
  <si>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</si>
  <si>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</si>
  <si>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</si>
  <si>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</si>
  <si>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</si>
  <si>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</si>
  <si>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</si>
  <si>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</si>
  <si>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</si>
  <si>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</si>
  <si>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</si>
  <si>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</si>
  <si>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</si>
  <si>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</si>
  <si>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</si>
  <si>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</si>
  <si>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</si>
  <si>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</si>
  <si>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</si>
  <si>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</si>
  <si>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</si>
  <si>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</si>
  <si>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</si>
  <si>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</si>
  <si>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</si>
  <si>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</si>
  <si>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</si>
  <si>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</si>
  <si>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</si>
  <si>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</si>
  <si>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</si>
  <si>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</si>
  <si>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</si>
  <si>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</si>
  <si>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</si>
  <si>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</si>
  <si>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</si>
  <si>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</si>
  <si>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</si>
  <si>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</si>
  <si>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</si>
  <si>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</si>
  <si>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</si>
  <si>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</si>
  <si>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</si>
  <si>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</si>
  <si>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</si>
  <si>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</si>
  <si>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</si>
  <si>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</si>
  <si>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</si>
  <si>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</si>
  <si>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</si>
  <si>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</si>
  <si>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</si>
  <si>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</si>
  <si>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</si>
  <si>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</si>
  <si>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</si>
  <si>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</si>
  <si>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</si>
  <si>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</si>
  <si>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</si>
  <si>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</si>
  <si>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</si>
  <si>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</si>
  <si>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</si>
  <si>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</si>
  <si>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</si>
  <si>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</si>
  <si>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</si>
  <si>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</si>
  <si>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</si>
  <si>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</si>
  <si>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</si>
  <si>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</si>
  <si>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</si>
  <si>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</si>
  <si>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</si>
  <si>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</si>
  <si>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</si>
  <si>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</si>
  <si>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</si>
  <si>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</si>
  <si>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</si>
  <si>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</si>
  <si>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</si>
  <si>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</si>
  <si>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</si>
  <si>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</si>
  <si>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</si>
  <si>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</si>
  <si>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</si>
  <si>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</si>
  <si>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</si>
  <si>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</si>
  <si>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</si>
  <si>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</si>
  <si>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</si>
  <si>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</si>
  <si>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</si>
  <si>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</si>
  <si>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</si>
  <si>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</si>
  <si>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</si>
  <si>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</si>
  <si>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</si>
  <si>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</si>
  <si>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</si>
  <si>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</si>
  <si>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</si>
  <si>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</si>
  <si>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</si>
  <si>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</si>
  <si>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</si>
  <si>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</si>
  <si>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</si>
  <si>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</si>
  <si>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</si>
  <si>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</si>
  <si>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</si>
  <si>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</si>
  <si>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</si>
  <si>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</si>
  <si>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</si>
  <si>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</si>
  <si>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</si>
  <si>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</si>
  <si>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</si>
  <si>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</si>
  <si>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</si>
  <si>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</si>
  <si>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</si>
  <si>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</si>
  <si>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</si>
  <si>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</si>
  <si>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</si>
  <si>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</si>
  <si>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</si>
  <si>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</si>
  <si>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</si>
  <si>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</si>
  <si>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</si>
  <si>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</si>
  <si>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</si>
  <si>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</si>
  <si>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</si>
  <si>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</si>
  <si>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</si>
  <si>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</si>
  <si>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</si>
  <si>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</si>
  <si>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</si>
  <si>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</si>
  <si>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</si>
  <si>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</si>
  <si>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</si>
  <si>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</si>
  <si>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</si>
  <si>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</si>
  <si>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</si>
  <si>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</si>
  <si>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</si>
  <si>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</si>
  <si>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</si>
  <si>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</si>
  <si>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</si>
  <si>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</si>
  <si>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</si>
  <si>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</si>
  <si>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</si>
  <si>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</si>
  <si>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</si>
  <si>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</si>
  <si>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</si>
  <si>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</si>
  <si>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</si>
  <si>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</si>
  <si>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</si>
  <si>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</si>
  <si>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</si>
  <si>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</si>
  <si>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</si>
  <si>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</si>
  <si>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</si>
  <si>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</si>
  <si>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</si>
  <si>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</si>
  <si>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</si>
  <si>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</si>
  <si>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</si>
  <si>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</si>
  <si>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</si>
  <si>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</si>
  <si>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</si>
  <si>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</si>
  <si>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</si>
  <si>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</si>
  <si>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</si>
  <si>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</si>
  <si>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</si>
  <si>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</si>
  <si>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</si>
  <si>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</si>
  <si>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</si>
  <si>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</si>
  <si>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</si>
  <si>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</si>
  <si>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</si>
  <si>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</si>
  <si>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</si>
  <si>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</si>
  <si>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</si>
  <si>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</si>
  <si>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</si>
  <si>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</si>
  <si>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</si>
  <si>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</si>
  <si>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</si>
  <si>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</si>
  <si>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</si>
  <si>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</si>
  <si>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</si>
  <si>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</si>
  <si>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</si>
  <si>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</si>
  <si>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</si>
  <si>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</si>
  <si>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</si>
  <si>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</si>
  <si>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</si>
  <si>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</si>
  <si>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</si>
  <si>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</si>
  <si>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</si>
  <si>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</si>
  <si>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</si>
  <si>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</si>
  <si>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</si>
  <si>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</si>
  <si>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</si>
  <si>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</si>
  <si>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</si>
  <si>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</si>
  <si>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</si>
  <si>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</si>
  <si>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</si>
  <si>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</si>
  <si>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</si>
  <si>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</si>
  <si>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</si>
  <si>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</si>
  <si>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</si>
  <si>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</si>
  <si>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</si>
  <si>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</si>
  <si>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</si>
  <si>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</si>
  <si>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</si>
  <si>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</si>
  <si>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</si>
  <si>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</si>
  <si>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</si>
  <si>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</si>
  <si>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</si>
  <si>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</si>
  <si>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</si>
  <si>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</si>
  <si>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</si>
  <si>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</si>
  <si>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</si>
  <si>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</si>
  <si>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</si>
  <si>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</si>
  <si>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</si>
  <si>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</si>
  <si>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</si>
  <si>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</si>
  <si>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</si>
  <si>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</si>
  <si>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</si>
  <si>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</si>
  <si>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</si>
  <si>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</si>
  <si>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</si>
  <si>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</si>
  <si>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</si>
  <si>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</si>
  <si>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</si>
  <si>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</si>
  <si>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</si>
  <si>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</si>
  <si>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</si>
  <si>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</si>
  <si>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</si>
  <si>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</si>
  <si>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</si>
  <si>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</si>
  <si>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</si>
  <si>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</si>
  <si>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</si>
  <si>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</si>
  <si>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</si>
  <si>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</si>
  <si>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</si>
  <si>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</si>
  <si>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</si>
  <si>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</si>
  <si>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</si>
  <si>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</si>
  <si>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</si>
  <si>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</si>
  <si>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</si>
  <si>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</si>
  <si>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</si>
  <si>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</si>
  <si>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</si>
  <si>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</si>
  <si>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</si>
  <si>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</si>
  <si>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</si>
  <si>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</si>
  <si>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</si>
  <si>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</si>
  <si>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</si>
  <si>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</si>
  <si>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</si>
  <si>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</si>
  <si>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</si>
  <si>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</si>
  <si>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</si>
  <si>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</si>
  <si>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</si>
  <si>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</si>
  <si>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</si>
  <si>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</si>
  <si>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</si>
  <si>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</si>
  <si>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</si>
  <si>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</si>
  <si>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</si>
  <si>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</si>
  <si>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</si>
  <si>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</si>
  <si>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</si>
  <si>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</si>
  <si>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</si>
  <si>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</si>
  <si>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</si>
  <si>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</si>
  <si>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</si>
  <si>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</si>
  <si>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</si>
  <si>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</si>
  <si>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</si>
  <si>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</si>
  <si>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</si>
  <si>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</si>
  <si>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</si>
  <si>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</si>
  <si>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</si>
  <si>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</si>
  <si>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</si>
  <si>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</si>
  <si>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</si>
  <si>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</si>
  <si>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</si>
  <si>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</si>
  <si>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</si>
  <si>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</si>
  <si>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</si>
  <si>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</si>
  <si>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</si>
  <si>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</si>
  <si>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</si>
  <si>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</si>
  <si>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</si>
  <si>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</si>
  <si>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</si>
  <si>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</si>
  <si>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</si>
  <si>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</si>
  <si>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23100</t>
  </si>
  <si>
    <t>LINKEBEEK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</si>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</sst>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48985.362629066847</c:v>
                </c:pt>
                <c:pt idx="1">
                  <c:v>15967.837047557572</c:v>
                </c:pt>
                <c:pt idx="2">
                  <c:v>303.73500000000001</c:v>
                </c:pt>
                <c:pt idx="3">
                  <c:v>464.21861795364219</c:v>
                </c:pt>
                <c:pt idx="4">
                  <c:v>1173.2144590910918</c:v>
                </c:pt>
                <c:pt idx="5">
                  <c:v>16290.053039647799</c:v>
                </c:pt>
                <c:pt idx="6">
                  <c:v>271.29295239559218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48985.362629066847</c:v>
                </c:pt>
                <c:pt idx="1">
                  <c:v>15967.837047557572</c:v>
                </c:pt>
                <c:pt idx="2">
                  <c:v>303.73500000000001</c:v>
                </c:pt>
                <c:pt idx="3">
                  <c:v>464.21861795364219</c:v>
                </c:pt>
                <c:pt idx="4">
                  <c:v>1173.2144590910918</c:v>
                </c:pt>
                <c:pt idx="5">
                  <c:v>16290.053039647799</c:v>
                </c:pt>
                <c:pt idx="6">
                  <c:v>271.29295239559218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9908.5965047133377</c:v>
                </c:pt>
                <c:pt idx="2">
                  <c:v>3302.7327927361798</c:v>
                </c:pt>
                <c:pt idx="3">
                  <c:v>66.319291295426765</c:v>
                </c:pt>
                <c:pt idx="4">
                  <c:v>117.30363211027348</c:v>
                </c:pt>
                <c:pt idx="5">
                  <c:v>245.61062115137315</c:v>
                </c:pt>
                <c:pt idx="6">
                  <c:v>4068.80340423914</c:v>
                </c:pt>
                <c:pt idx="7">
                  <c:v>68.398795160116805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9908.5965047133377</c:v>
                </c:pt>
                <c:pt idx="2">
                  <c:v>3302.7327927361798</c:v>
                </c:pt>
                <c:pt idx="3">
                  <c:v>66.319291295426765</c:v>
                </c:pt>
                <c:pt idx="4">
                  <c:v>117.30363211027348</c:v>
                </c:pt>
                <c:pt idx="5">
                  <c:v>245.61062115137315</c:v>
                </c:pt>
                <c:pt idx="6">
                  <c:v>4068.80340423914</c:v>
                </c:pt>
                <c:pt idx="7">
                  <c:v>68.398795160116805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23100</v>
      </c>
      <c r="B6" s="384"/>
      <c r="C6" s="385"/>
    </row>
    <row r="7" spans="1:7" s="382" customFormat="1" ht="15.75" customHeight="1">
      <c r="A7" s="386" t="str">
        <f>txtMunicipality</f>
        <v>LINKEBEEK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7957.7361066845879</v>
      </c>
      <c r="D10" s="973">
        <f ca="1">tertiair!C16</f>
        <v>0</v>
      </c>
      <c r="E10" s="973">
        <f ca="1">tertiair!D16</f>
        <v>6249.2673237875833</v>
      </c>
      <c r="F10" s="973">
        <f>tertiair!E16</f>
        <v>90.67213102180753</v>
      </c>
      <c r="G10" s="973">
        <f ca="1">tertiair!F16</f>
        <v>1305.5152737159719</v>
      </c>
      <c r="H10" s="973">
        <f>tertiair!G16</f>
        <v>0</v>
      </c>
      <c r="I10" s="973">
        <f>tertiair!H16</f>
        <v>0</v>
      </c>
      <c r="J10" s="973">
        <f>tertiair!I16</f>
        <v>0</v>
      </c>
      <c r="K10" s="973">
        <f>tertiair!J16</f>
        <v>1.6659383393010294E-2</v>
      </c>
      <c r="L10" s="973">
        <f>tertiair!K16</f>
        <v>0</v>
      </c>
      <c r="M10" s="973">
        <f ca="1">tertiair!L16</f>
        <v>0</v>
      </c>
      <c r="N10" s="973">
        <f>tertiair!M16</f>
        <v>0</v>
      </c>
      <c r="O10" s="973">
        <f ca="1">tertiair!N16</f>
        <v>666.80121963089618</v>
      </c>
      <c r="P10" s="973">
        <f>tertiair!O16</f>
        <v>1.5633333333333335</v>
      </c>
      <c r="Q10" s="974">
        <f>tertiair!P16</f>
        <v>0</v>
      </c>
      <c r="R10" s="668">
        <f ca="1">SUM(C10:Q10)</f>
        <v>16271.572047557571</v>
      </c>
      <c r="S10" s="67"/>
    </row>
    <row r="11" spans="1:19" s="441" customFormat="1">
      <c r="A11" s="777" t="s">
        <v>219</v>
      </c>
      <c r="B11" s="782"/>
      <c r="C11" s="973">
        <f>huishoudens!B8</f>
        <v>7214.1679774082095</v>
      </c>
      <c r="D11" s="973">
        <f>huishoudens!C8</f>
        <v>0</v>
      </c>
      <c r="E11" s="973">
        <f>huishoudens!D8</f>
        <v>31875.587309461382</v>
      </c>
      <c r="F11" s="973">
        <f>huishoudens!E8</f>
        <v>269.31257035487994</v>
      </c>
      <c r="G11" s="973">
        <f>huishoudens!F8</f>
        <v>6823.1733340715336</v>
      </c>
      <c r="H11" s="973">
        <f>huishoudens!G8</f>
        <v>0</v>
      </c>
      <c r="I11" s="973">
        <f>huishoudens!H8</f>
        <v>0</v>
      </c>
      <c r="J11" s="973">
        <f>huishoudens!I8</f>
        <v>0</v>
      </c>
      <c r="K11" s="973">
        <f>huishoudens!J8</f>
        <v>32.832344583530478</v>
      </c>
      <c r="L11" s="973">
        <f>huishoudens!K8</f>
        <v>0</v>
      </c>
      <c r="M11" s="973">
        <f>huishoudens!L8</f>
        <v>0</v>
      </c>
      <c r="N11" s="973">
        <f>huishoudens!M8</f>
        <v>0</v>
      </c>
      <c r="O11" s="973">
        <f>huishoudens!N8</f>
        <v>2707.1424265206351</v>
      </c>
      <c r="P11" s="973">
        <f>huishoudens!O8</f>
        <v>25.013333333333335</v>
      </c>
      <c r="Q11" s="974">
        <f>huishoudens!P8</f>
        <v>38.133333333333333</v>
      </c>
      <c r="R11" s="668">
        <f>SUM(C11:Q11)</f>
        <v>48985.362629066847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350.54827182833606</v>
      </c>
      <c r="D13" s="973">
        <f>industrie!C18</f>
        <v>0</v>
      </c>
      <c r="E13" s="973">
        <f>industrie!D18</f>
        <v>655.41997999323871</v>
      </c>
      <c r="F13" s="973">
        <f>industrie!E18</f>
        <v>34.074389758775204</v>
      </c>
      <c r="G13" s="973">
        <f>industrie!F18</f>
        <v>107.0207391018298</v>
      </c>
      <c r="H13" s="973">
        <f>industrie!G18</f>
        <v>0</v>
      </c>
      <c r="I13" s="973">
        <f>industrie!H18</f>
        <v>0</v>
      </c>
      <c r="J13" s="973">
        <f>industrie!I18</f>
        <v>0</v>
      </c>
      <c r="K13" s="973">
        <f>industrie!J18</f>
        <v>1.032723760973443</v>
      </c>
      <c r="L13" s="973">
        <f>industrie!K18</f>
        <v>0</v>
      </c>
      <c r="M13" s="973">
        <f>industrie!L18</f>
        <v>0</v>
      </c>
      <c r="N13" s="973">
        <f>industrie!M18</f>
        <v>0</v>
      </c>
      <c r="O13" s="973">
        <f>industrie!N18</f>
        <v>25.118354647938858</v>
      </c>
      <c r="P13" s="973">
        <f>industrie!O18</f>
        <v>0</v>
      </c>
      <c r="Q13" s="974">
        <f>industrie!P18</f>
        <v>0</v>
      </c>
      <c r="R13" s="668">
        <f>SUM(C13:Q13)</f>
        <v>1173.2144590910918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15522.452355921134</v>
      </c>
      <c r="D16" s="700">
        <f t="shared" ref="D16:R16" ca="1" si="0">SUM(D9:D15)</f>
        <v>0</v>
      </c>
      <c r="E16" s="700">
        <f t="shared" ca="1" si="0"/>
        <v>38780.274613242203</v>
      </c>
      <c r="F16" s="700">
        <f t="shared" si="0"/>
        <v>394.05909113546267</v>
      </c>
      <c r="G16" s="700">
        <f t="shared" ca="1" si="0"/>
        <v>8235.7093468893363</v>
      </c>
      <c r="H16" s="700">
        <f t="shared" si="0"/>
        <v>0</v>
      </c>
      <c r="I16" s="700">
        <f t="shared" si="0"/>
        <v>0</v>
      </c>
      <c r="J16" s="700">
        <f t="shared" si="0"/>
        <v>0</v>
      </c>
      <c r="K16" s="700">
        <f t="shared" si="0"/>
        <v>33.88172772789693</v>
      </c>
      <c r="L16" s="700">
        <f t="shared" si="0"/>
        <v>0</v>
      </c>
      <c r="M16" s="700">
        <f t="shared" ca="1" si="0"/>
        <v>0</v>
      </c>
      <c r="N16" s="700">
        <f t="shared" si="0"/>
        <v>0</v>
      </c>
      <c r="O16" s="700">
        <f t="shared" ca="1" si="0"/>
        <v>3399.0620007994703</v>
      </c>
      <c r="P16" s="700">
        <f t="shared" si="0"/>
        <v>26.576666666666668</v>
      </c>
      <c r="Q16" s="700">
        <f t="shared" si="0"/>
        <v>38.133333333333333</v>
      </c>
      <c r="R16" s="700">
        <f t="shared" ca="1" si="0"/>
        <v>66430.149135715517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2.7034727515369372</v>
      </c>
      <c r="D19" s="973">
        <f>transport!C54</f>
        <v>0</v>
      </c>
      <c r="E19" s="973">
        <f>transport!D54</f>
        <v>0</v>
      </c>
      <c r="F19" s="973">
        <f>transport!E54</f>
        <v>0</v>
      </c>
      <c r="G19" s="973">
        <f>transport!F54</f>
        <v>0</v>
      </c>
      <c r="H19" s="973">
        <f>transport!G54</f>
        <v>253.96443061708996</v>
      </c>
      <c r="I19" s="973">
        <f>transport!H54</f>
        <v>0</v>
      </c>
      <c r="J19" s="973">
        <f>transport!I54</f>
        <v>0</v>
      </c>
      <c r="K19" s="973">
        <f>transport!J54</f>
        <v>0</v>
      </c>
      <c r="L19" s="973">
        <f>transport!K54</f>
        <v>0</v>
      </c>
      <c r="M19" s="973">
        <f>transport!L54</f>
        <v>0</v>
      </c>
      <c r="N19" s="973">
        <f>transport!M54</f>
        <v>14.625049026965257</v>
      </c>
      <c r="O19" s="973">
        <f>transport!N54</f>
        <v>0</v>
      </c>
      <c r="P19" s="973">
        <f>transport!O54</f>
        <v>0</v>
      </c>
      <c r="Q19" s="974">
        <f>transport!P54</f>
        <v>0</v>
      </c>
      <c r="R19" s="668">
        <f>SUM(C19:Q19)</f>
        <v>271.29295239559218</v>
      </c>
      <c r="S19" s="67"/>
    </row>
    <row r="20" spans="1:19" s="441" customFormat="1">
      <c r="A20" s="777" t="s">
        <v>301</v>
      </c>
      <c r="B20" s="782"/>
      <c r="C20" s="973">
        <f>transport!B14</f>
        <v>10.484478772671073</v>
      </c>
      <c r="D20" s="973">
        <f>transport!C14</f>
        <v>0</v>
      </c>
      <c r="E20" s="973">
        <f>transport!D14</f>
        <v>22.528368147456291</v>
      </c>
      <c r="F20" s="973">
        <f>transport!E14</f>
        <v>37.957752526815071</v>
      </c>
      <c r="G20" s="973">
        <f>transport!F14</f>
        <v>0</v>
      </c>
      <c r="H20" s="973">
        <f>transport!G14</f>
        <v>11856.459008817927</v>
      </c>
      <c r="I20" s="973">
        <f>transport!H14</f>
        <v>3564.9496617022487</v>
      </c>
      <c r="J20" s="973">
        <f>transport!I14</f>
        <v>0</v>
      </c>
      <c r="K20" s="973">
        <f>transport!J14</f>
        <v>0</v>
      </c>
      <c r="L20" s="973">
        <f>transport!K14</f>
        <v>0</v>
      </c>
      <c r="M20" s="973">
        <f>transport!L14</f>
        <v>0</v>
      </c>
      <c r="N20" s="973">
        <f>transport!M14</f>
        <v>797.67376968068106</v>
      </c>
      <c r="O20" s="973">
        <f>transport!N14</f>
        <v>0</v>
      </c>
      <c r="P20" s="973">
        <f>transport!O14</f>
        <v>0</v>
      </c>
      <c r="Q20" s="974">
        <f>transport!P14</f>
        <v>0</v>
      </c>
      <c r="R20" s="668">
        <f>SUM(C20:Q20)</f>
        <v>16290.053039647799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13.18795152420801</v>
      </c>
      <c r="D22" s="780">
        <f t="shared" ref="D22:R22" si="1">SUM(D18:D21)</f>
        <v>0</v>
      </c>
      <c r="E22" s="780">
        <f t="shared" si="1"/>
        <v>22.528368147456291</v>
      </c>
      <c r="F22" s="780">
        <f t="shared" si="1"/>
        <v>37.957752526815071</v>
      </c>
      <c r="G22" s="780">
        <f t="shared" si="1"/>
        <v>0</v>
      </c>
      <c r="H22" s="780">
        <f t="shared" si="1"/>
        <v>12110.423439435017</v>
      </c>
      <c r="I22" s="780">
        <f t="shared" si="1"/>
        <v>3564.9496617022487</v>
      </c>
      <c r="J22" s="780">
        <f t="shared" si="1"/>
        <v>0</v>
      </c>
      <c r="K22" s="780">
        <f t="shared" si="1"/>
        <v>0</v>
      </c>
      <c r="L22" s="780">
        <f t="shared" si="1"/>
        <v>0</v>
      </c>
      <c r="M22" s="780">
        <f t="shared" si="1"/>
        <v>0</v>
      </c>
      <c r="N22" s="780">
        <f t="shared" si="1"/>
        <v>812.29881870764632</v>
      </c>
      <c r="O22" s="780">
        <f t="shared" si="1"/>
        <v>0</v>
      </c>
      <c r="P22" s="780">
        <f t="shared" si="1"/>
        <v>0</v>
      </c>
      <c r="Q22" s="780">
        <f t="shared" si="1"/>
        <v>0</v>
      </c>
      <c r="R22" s="780">
        <f t="shared" si="1"/>
        <v>16561.345992043392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75.935223418884405</v>
      </c>
      <c r="D24" s="973">
        <f>+landbouw!C8</f>
        <v>0</v>
      </c>
      <c r="E24" s="973">
        <f>+landbouw!D8</f>
        <v>58.708005800754918</v>
      </c>
      <c r="F24" s="973">
        <f>+landbouw!E8</f>
        <v>2.2319681492233818</v>
      </c>
      <c r="G24" s="973">
        <f>+landbouw!F8</f>
        <v>316.3420374389728</v>
      </c>
      <c r="H24" s="973">
        <f>+landbouw!G8</f>
        <v>0</v>
      </c>
      <c r="I24" s="973">
        <f>+landbouw!H8</f>
        <v>0</v>
      </c>
      <c r="J24" s="973">
        <f>+landbouw!I8</f>
        <v>0</v>
      </c>
      <c r="K24" s="973">
        <f>+landbouw!J8</f>
        <v>11.001383145806674</v>
      </c>
      <c r="L24" s="973">
        <f>+landbouw!K8</f>
        <v>0</v>
      </c>
      <c r="M24" s="973">
        <f>+landbouw!L8</f>
        <v>0</v>
      </c>
      <c r="N24" s="973">
        <f>+landbouw!M8</f>
        <v>0</v>
      </c>
      <c r="O24" s="973">
        <f>+landbouw!N8</f>
        <v>0</v>
      </c>
      <c r="P24" s="973">
        <f>+landbouw!O8</f>
        <v>0</v>
      </c>
      <c r="Q24" s="974">
        <f>+landbouw!P8</f>
        <v>0</v>
      </c>
      <c r="R24" s="668">
        <f>SUM(C24:Q24)</f>
        <v>464.21861795364219</v>
      </c>
      <c r="S24" s="67"/>
    </row>
    <row r="25" spans="1:19" s="441" customFormat="1" ht="15" thickBot="1">
      <c r="A25" s="799" t="s">
        <v>808</v>
      </c>
      <c r="B25" s="976"/>
      <c r="C25" s="977">
        <f>IF(Onbekend_ele_kWh="---",0,Onbekend_ele_kWh)/1000+IF(REST_rest_ele_kWh="---",0,REST_rest_ele_kWh)/1000</f>
        <v>216.28677401072298</v>
      </c>
      <c r="D25" s="977"/>
      <c r="E25" s="977">
        <f>IF(onbekend_gas_kWh="---",0,onbekend_gas_kWh)/1000+IF(REST_rest_gas_kWh="---",0,REST_rest_gas_kWh)/1000</f>
        <v>855.42620140139593</v>
      </c>
      <c r="F25" s="977"/>
      <c r="G25" s="977"/>
      <c r="H25" s="977"/>
      <c r="I25" s="977"/>
      <c r="J25" s="977"/>
      <c r="K25" s="977"/>
      <c r="L25" s="977"/>
      <c r="M25" s="977"/>
      <c r="N25" s="977"/>
      <c r="O25" s="977"/>
      <c r="P25" s="977"/>
      <c r="Q25" s="978"/>
      <c r="R25" s="668">
        <f>SUM(C25:Q25)</f>
        <v>1071.7129754121188</v>
      </c>
      <c r="S25" s="67"/>
    </row>
    <row r="26" spans="1:19" s="441" customFormat="1" ht="15.75" thickBot="1">
      <c r="A26" s="673" t="s">
        <v>809</v>
      </c>
      <c r="B26" s="785"/>
      <c r="C26" s="780">
        <f>SUM(C24:C25)</f>
        <v>292.22199742960737</v>
      </c>
      <c r="D26" s="780">
        <f t="shared" ref="D26:R26" si="2">SUM(D24:D25)</f>
        <v>0</v>
      </c>
      <c r="E26" s="780">
        <f t="shared" si="2"/>
        <v>914.13420720215083</v>
      </c>
      <c r="F26" s="780">
        <f t="shared" si="2"/>
        <v>2.2319681492233818</v>
      </c>
      <c r="G26" s="780">
        <f t="shared" si="2"/>
        <v>316.3420374389728</v>
      </c>
      <c r="H26" s="780">
        <f t="shared" si="2"/>
        <v>0</v>
      </c>
      <c r="I26" s="780">
        <f t="shared" si="2"/>
        <v>0</v>
      </c>
      <c r="J26" s="780">
        <f t="shared" si="2"/>
        <v>0</v>
      </c>
      <c r="K26" s="780">
        <f t="shared" si="2"/>
        <v>11.001383145806674</v>
      </c>
      <c r="L26" s="780">
        <f t="shared" si="2"/>
        <v>0</v>
      </c>
      <c r="M26" s="780">
        <f t="shared" si="2"/>
        <v>0</v>
      </c>
      <c r="N26" s="780">
        <f t="shared" si="2"/>
        <v>0</v>
      </c>
      <c r="O26" s="780">
        <f t="shared" si="2"/>
        <v>0</v>
      </c>
      <c r="P26" s="780">
        <f t="shared" si="2"/>
        <v>0</v>
      </c>
      <c r="Q26" s="780">
        <f t="shared" si="2"/>
        <v>0</v>
      </c>
      <c r="R26" s="780">
        <f t="shared" si="2"/>
        <v>1535.931593365761</v>
      </c>
      <c r="S26" s="67"/>
    </row>
    <row r="27" spans="1:19" s="441" customFormat="1" ht="17.25" thickTop="1" thickBot="1">
      <c r="A27" s="674" t="s">
        <v>115</v>
      </c>
      <c r="B27" s="773"/>
      <c r="C27" s="675">
        <f ca="1">C22+C16+C26</f>
        <v>15827.862304874949</v>
      </c>
      <c r="D27" s="675">
        <f t="shared" ref="D27:R27" ca="1" si="3">D22+D16+D26</f>
        <v>0</v>
      </c>
      <c r="E27" s="675">
        <f t="shared" ca="1" si="3"/>
        <v>39716.937188591808</v>
      </c>
      <c r="F27" s="675">
        <f t="shared" si="3"/>
        <v>434.24881181150113</v>
      </c>
      <c r="G27" s="675">
        <f t="shared" ca="1" si="3"/>
        <v>8552.0513843283097</v>
      </c>
      <c r="H27" s="675">
        <f t="shared" si="3"/>
        <v>12110.423439435017</v>
      </c>
      <c r="I27" s="675">
        <f t="shared" si="3"/>
        <v>3564.9496617022487</v>
      </c>
      <c r="J27" s="675">
        <f t="shared" si="3"/>
        <v>0</v>
      </c>
      <c r="K27" s="675">
        <f t="shared" si="3"/>
        <v>44.8831108737036</v>
      </c>
      <c r="L27" s="675">
        <f t="shared" si="3"/>
        <v>0</v>
      </c>
      <c r="M27" s="675">
        <f t="shared" ca="1" si="3"/>
        <v>0</v>
      </c>
      <c r="N27" s="675">
        <f t="shared" si="3"/>
        <v>812.29881870764632</v>
      </c>
      <c r="O27" s="675">
        <f t="shared" ca="1" si="3"/>
        <v>3399.0620007994703</v>
      </c>
      <c r="P27" s="675">
        <f t="shared" si="3"/>
        <v>26.576666666666668</v>
      </c>
      <c r="Q27" s="675">
        <f t="shared" si="3"/>
        <v>38.133333333333333</v>
      </c>
      <c r="R27" s="675">
        <f t="shared" ca="1" si="3"/>
        <v>84527.426721124677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1737.5390353806788</v>
      </c>
      <c r="D40" s="973">
        <f ca="1">tertiair!C20</f>
        <v>0</v>
      </c>
      <c r="E40" s="973">
        <f ca="1">tertiair!D20</f>
        <v>1262.3519994050919</v>
      </c>
      <c r="F40" s="973">
        <f>tertiair!E20</f>
        <v>20.582573741950309</v>
      </c>
      <c r="G40" s="973">
        <f ca="1">tertiair!F20</f>
        <v>348.57257808216451</v>
      </c>
      <c r="H40" s="973">
        <f>tertiair!G20</f>
        <v>0</v>
      </c>
      <c r="I40" s="973">
        <f>tertiair!H20</f>
        <v>0</v>
      </c>
      <c r="J40" s="973">
        <f>tertiair!I20</f>
        <v>0</v>
      </c>
      <c r="K40" s="973">
        <f>tertiair!J20</f>
        <v>5.8974217211256435E-3</v>
      </c>
      <c r="L40" s="973">
        <f>tertiair!K20</f>
        <v>0</v>
      </c>
      <c r="M40" s="973">
        <f ca="1">tertiair!L20</f>
        <v>0</v>
      </c>
      <c r="N40" s="973">
        <f>tertiair!M20</f>
        <v>0</v>
      </c>
      <c r="O40" s="973">
        <f ca="1">tertiair!N20</f>
        <v>0</v>
      </c>
      <c r="P40" s="973">
        <f>tertiair!O20</f>
        <v>0</v>
      </c>
      <c r="Q40" s="742">
        <f>tertiair!P20</f>
        <v>0</v>
      </c>
      <c r="R40" s="818">
        <f t="shared" ca="1" si="4"/>
        <v>3369.0520840316071</v>
      </c>
    </row>
    <row r="41" spans="1:18">
      <c r="A41" s="790" t="s">
        <v>219</v>
      </c>
      <c r="B41" s="797"/>
      <c r="C41" s="973">
        <f ca="1">huishoudens!B12</f>
        <v>1575.1839845519112</v>
      </c>
      <c r="D41" s="973">
        <f ca="1">huishoudens!C12</f>
        <v>0</v>
      </c>
      <c r="E41" s="973">
        <f>huishoudens!D12</f>
        <v>6438.8686365111998</v>
      </c>
      <c r="F41" s="973">
        <f>huishoudens!E12</f>
        <v>61.133953470557749</v>
      </c>
      <c r="G41" s="973">
        <f>huishoudens!F12</f>
        <v>1821.7872801970996</v>
      </c>
      <c r="H41" s="973">
        <f>huishoudens!G12</f>
        <v>0</v>
      </c>
      <c r="I41" s="973">
        <f>huishoudens!H12</f>
        <v>0</v>
      </c>
      <c r="J41" s="973">
        <f>huishoudens!I12</f>
        <v>0</v>
      </c>
      <c r="K41" s="973">
        <f>huishoudens!J12</f>
        <v>11.622649982569788</v>
      </c>
      <c r="L41" s="973">
        <f>huishoudens!K12</f>
        <v>0</v>
      </c>
      <c r="M41" s="973">
        <f>huishoudens!L12</f>
        <v>0</v>
      </c>
      <c r="N41" s="973">
        <f>huishoudens!M12</f>
        <v>0</v>
      </c>
      <c r="O41" s="973">
        <f>huishoudens!N12</f>
        <v>0</v>
      </c>
      <c r="P41" s="973">
        <f>huishoudens!O12</f>
        <v>0</v>
      </c>
      <c r="Q41" s="742">
        <f>huishoudens!P12</f>
        <v>0</v>
      </c>
      <c r="R41" s="818">
        <f t="shared" ca="1" si="4"/>
        <v>9908.5965047133377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76.540777165923785</v>
      </c>
      <c r="D43" s="973">
        <f ca="1">industrie!C22</f>
        <v>0</v>
      </c>
      <c r="E43" s="973">
        <f>industrie!D22</f>
        <v>132.39483595863422</v>
      </c>
      <c r="F43" s="973">
        <f>industrie!E22</f>
        <v>7.7348864752419715</v>
      </c>
      <c r="G43" s="973">
        <f>industrie!F22</f>
        <v>28.574537340188559</v>
      </c>
      <c r="H43" s="973">
        <f>industrie!G22</f>
        <v>0</v>
      </c>
      <c r="I43" s="973">
        <f>industrie!H22</f>
        <v>0</v>
      </c>
      <c r="J43" s="973">
        <f>industrie!I22</f>
        <v>0</v>
      </c>
      <c r="K43" s="973">
        <f>industrie!J22</f>
        <v>0.36558421138459879</v>
      </c>
      <c r="L43" s="973">
        <f>industrie!K22</f>
        <v>0</v>
      </c>
      <c r="M43" s="973">
        <f>industrie!L22</f>
        <v>0</v>
      </c>
      <c r="N43" s="973">
        <f>industrie!M22</f>
        <v>0</v>
      </c>
      <c r="O43" s="973">
        <f>industrie!N22</f>
        <v>0</v>
      </c>
      <c r="P43" s="973">
        <f>industrie!O22</f>
        <v>0</v>
      </c>
      <c r="Q43" s="742">
        <f>industrie!P22</f>
        <v>0</v>
      </c>
      <c r="R43" s="817">
        <f t="shared" ca="1" si="4"/>
        <v>245.61062115137315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3389.2637970985138</v>
      </c>
      <c r="D46" s="700">
        <f t="shared" ref="D46:Q46" ca="1" si="5">SUM(D39:D45)</f>
        <v>0</v>
      </c>
      <c r="E46" s="700">
        <f t="shared" ca="1" si="5"/>
        <v>7833.6154718749258</v>
      </c>
      <c r="F46" s="700">
        <f t="shared" si="5"/>
        <v>89.451413687750033</v>
      </c>
      <c r="G46" s="700">
        <f t="shared" ca="1" si="5"/>
        <v>2198.934395619453</v>
      </c>
      <c r="H46" s="700">
        <f t="shared" si="5"/>
        <v>0</v>
      </c>
      <c r="I46" s="700">
        <f t="shared" si="5"/>
        <v>0</v>
      </c>
      <c r="J46" s="700">
        <f t="shared" si="5"/>
        <v>0</v>
      </c>
      <c r="K46" s="700">
        <f t="shared" si="5"/>
        <v>11.994131615675514</v>
      </c>
      <c r="L46" s="700">
        <f t="shared" si="5"/>
        <v>0</v>
      </c>
      <c r="M46" s="700">
        <f t="shared" ca="1" si="5"/>
        <v>0</v>
      </c>
      <c r="N46" s="700">
        <f t="shared" si="5"/>
        <v>0</v>
      </c>
      <c r="O46" s="700">
        <f t="shared" ca="1" si="5"/>
        <v>0</v>
      </c>
      <c r="P46" s="700">
        <f t="shared" si="5"/>
        <v>0</v>
      </c>
      <c r="Q46" s="700">
        <f t="shared" si="5"/>
        <v>0</v>
      </c>
      <c r="R46" s="700">
        <f ca="1">SUM(R39:R45)</f>
        <v>13523.259209896318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0.59029218535376904</v>
      </c>
      <c r="D49" s="973">
        <f ca="1">transport!C58</f>
        <v>0</v>
      </c>
      <c r="E49" s="973">
        <f>transport!D58</f>
        <v>0</v>
      </c>
      <c r="F49" s="973">
        <f>transport!E58</f>
        <v>0</v>
      </c>
      <c r="G49" s="973">
        <f>transport!F58</f>
        <v>0</v>
      </c>
      <c r="H49" s="973">
        <f>transport!G58</f>
        <v>67.80850297476303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68.398795160116805</v>
      </c>
    </row>
    <row r="50" spans="1:18">
      <c r="A50" s="793" t="s">
        <v>301</v>
      </c>
      <c r="B50" s="803"/>
      <c r="C50" s="671">
        <f ca="1">transport!B18</f>
        <v>2.2892429315208696</v>
      </c>
      <c r="D50" s="671">
        <f>transport!C18</f>
        <v>0</v>
      </c>
      <c r="E50" s="671">
        <f>transport!D18</f>
        <v>4.5507303657861709</v>
      </c>
      <c r="F50" s="671">
        <f>transport!E18</f>
        <v>8.6164098235870217</v>
      </c>
      <c r="G50" s="671">
        <f>transport!F18</f>
        <v>0</v>
      </c>
      <c r="H50" s="671">
        <f>transport!G18</f>
        <v>3165.6745553543865</v>
      </c>
      <c r="I50" s="671">
        <f>transport!H18</f>
        <v>887.67246576385992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4068.80340423914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2.8795351168746386</v>
      </c>
      <c r="D52" s="700">
        <f t="shared" ref="D52:Q52" ca="1" si="6">SUM(D48:D51)</f>
        <v>0</v>
      </c>
      <c r="E52" s="700">
        <f t="shared" si="6"/>
        <v>4.5507303657861709</v>
      </c>
      <c r="F52" s="700">
        <f t="shared" si="6"/>
        <v>8.6164098235870217</v>
      </c>
      <c r="G52" s="700">
        <f t="shared" si="6"/>
        <v>0</v>
      </c>
      <c r="H52" s="700">
        <f t="shared" si="6"/>
        <v>3233.4830583291496</v>
      </c>
      <c r="I52" s="700">
        <f t="shared" si="6"/>
        <v>887.67246576385992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4137.2021993992566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16.580144538825973</v>
      </c>
      <c r="D54" s="671">
        <f ca="1">+landbouw!C12</f>
        <v>0</v>
      </c>
      <c r="E54" s="671">
        <f>+landbouw!D12</f>
        <v>11.859017171752495</v>
      </c>
      <c r="F54" s="671">
        <f>+landbouw!E12</f>
        <v>0.50665676987370767</v>
      </c>
      <c r="G54" s="671">
        <f>+landbouw!F12</f>
        <v>84.463323996205744</v>
      </c>
      <c r="H54" s="671">
        <f>+landbouw!G12</f>
        <v>0</v>
      </c>
      <c r="I54" s="671">
        <f>+landbouw!H12</f>
        <v>0</v>
      </c>
      <c r="J54" s="671">
        <f>+landbouw!I12</f>
        <v>0</v>
      </c>
      <c r="K54" s="671">
        <f>+landbouw!J12</f>
        <v>3.8944896336155623</v>
      </c>
      <c r="L54" s="671">
        <f>+landbouw!K12</f>
        <v>0</v>
      </c>
      <c r="M54" s="671">
        <f>+landbouw!L12</f>
        <v>0</v>
      </c>
      <c r="N54" s="671">
        <f>+landbouw!M12</f>
        <v>0</v>
      </c>
      <c r="O54" s="671">
        <f>+landbouw!N12</f>
        <v>0</v>
      </c>
      <c r="P54" s="671">
        <f>+landbouw!O12</f>
        <v>0</v>
      </c>
      <c r="Q54" s="672">
        <f>+landbouw!P12</f>
        <v>0</v>
      </c>
      <c r="R54" s="699">
        <f ca="1">SUM(C54:Q54)</f>
        <v>117.30363211027348</v>
      </c>
    </row>
    <row r="55" spans="1:18" ht="15" thickBot="1">
      <c r="A55" s="793" t="s">
        <v>808</v>
      </c>
      <c r="B55" s="803"/>
      <c r="C55" s="671">
        <f ca="1">C25*'EF ele_warmte'!B12</f>
        <v>47.22532987296583</v>
      </c>
      <c r="D55" s="671"/>
      <c r="E55" s="671">
        <f>E25*EF_CO2_aardgas</f>
        <v>172.79609268308198</v>
      </c>
      <c r="F55" s="671"/>
      <c r="G55" s="671"/>
      <c r="H55" s="671"/>
      <c r="I55" s="671"/>
      <c r="J55" s="671"/>
      <c r="K55" s="671"/>
      <c r="L55" s="671"/>
      <c r="M55" s="671"/>
      <c r="N55" s="671"/>
      <c r="O55" s="671"/>
      <c r="P55" s="671"/>
      <c r="Q55" s="672"/>
      <c r="R55" s="699">
        <f ca="1">SUM(C55:Q55)</f>
        <v>220.02142255604781</v>
      </c>
    </row>
    <row r="56" spans="1:18" ht="15.75" thickBot="1">
      <c r="A56" s="791" t="s">
        <v>809</v>
      </c>
      <c r="B56" s="804"/>
      <c r="C56" s="700">
        <f ca="1">SUM(C54:C55)</f>
        <v>63.805474411791806</v>
      </c>
      <c r="D56" s="700">
        <f t="shared" ref="D56:Q56" ca="1" si="7">SUM(D54:D55)</f>
        <v>0</v>
      </c>
      <c r="E56" s="700">
        <f t="shared" si="7"/>
        <v>184.65510985483448</v>
      </c>
      <c r="F56" s="700">
        <f t="shared" si="7"/>
        <v>0.50665676987370767</v>
      </c>
      <c r="G56" s="700">
        <f t="shared" si="7"/>
        <v>84.463323996205744</v>
      </c>
      <c r="H56" s="700">
        <f t="shared" si="7"/>
        <v>0</v>
      </c>
      <c r="I56" s="700">
        <f t="shared" si="7"/>
        <v>0</v>
      </c>
      <c r="J56" s="700">
        <f t="shared" si="7"/>
        <v>0</v>
      </c>
      <c r="K56" s="700">
        <f t="shared" si="7"/>
        <v>3.8944896336155623</v>
      </c>
      <c r="L56" s="700">
        <f t="shared" si="7"/>
        <v>0</v>
      </c>
      <c r="M56" s="700">
        <f t="shared" si="7"/>
        <v>0</v>
      </c>
      <c r="N56" s="700">
        <f t="shared" si="7"/>
        <v>0</v>
      </c>
      <c r="O56" s="700">
        <f t="shared" si="7"/>
        <v>0</v>
      </c>
      <c r="P56" s="700">
        <f t="shared" si="7"/>
        <v>0</v>
      </c>
      <c r="Q56" s="701">
        <f t="shared" si="7"/>
        <v>0</v>
      </c>
      <c r="R56" s="702">
        <f ca="1">SUM(R54:R55)</f>
        <v>337.32505466632131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3455.9488066271801</v>
      </c>
      <c r="D61" s="708">
        <f t="shared" ref="D61:Q61" ca="1" si="8">D46+D52+D56</f>
        <v>0</v>
      </c>
      <c r="E61" s="708">
        <f t="shared" ca="1" si="8"/>
        <v>8022.8213120955461</v>
      </c>
      <c r="F61" s="708">
        <f t="shared" si="8"/>
        <v>98.574480281210768</v>
      </c>
      <c r="G61" s="708">
        <f t="shared" ca="1" si="8"/>
        <v>2283.3977196156588</v>
      </c>
      <c r="H61" s="708">
        <f t="shared" si="8"/>
        <v>3233.4830583291496</v>
      </c>
      <c r="I61" s="708">
        <f t="shared" si="8"/>
        <v>887.67246576385992</v>
      </c>
      <c r="J61" s="708">
        <f t="shared" si="8"/>
        <v>0</v>
      </c>
      <c r="K61" s="708">
        <f t="shared" si="8"/>
        <v>15.888621249291075</v>
      </c>
      <c r="L61" s="708">
        <f t="shared" si="8"/>
        <v>0</v>
      </c>
      <c r="M61" s="708">
        <f t="shared" ca="1" si="8"/>
        <v>0</v>
      </c>
      <c r="N61" s="708">
        <f t="shared" si="8"/>
        <v>0</v>
      </c>
      <c r="O61" s="708">
        <f t="shared" ca="1" si="8"/>
        <v>0</v>
      </c>
      <c r="P61" s="708">
        <f t="shared" si="8"/>
        <v>0</v>
      </c>
      <c r="Q61" s="708">
        <f t="shared" si="8"/>
        <v>0</v>
      </c>
      <c r="R61" s="708">
        <f ca="1">R46+R52+R56</f>
        <v>17997.786463961897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0.21834589788936659</v>
      </c>
      <c r="D63" s="749">
        <f t="shared" ca="1" si="9"/>
        <v>0</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190.08489932209616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190.08489932209616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7214.1679774082095</v>
      </c>
      <c r="C4" s="445">
        <f>huishoudens!C8</f>
        <v>0</v>
      </c>
      <c r="D4" s="445">
        <f>huishoudens!D8</f>
        <v>31875.587309461382</v>
      </c>
      <c r="E4" s="445">
        <f>huishoudens!E8</f>
        <v>269.31257035487994</v>
      </c>
      <c r="F4" s="445">
        <f>huishoudens!F8</f>
        <v>6823.1733340715336</v>
      </c>
      <c r="G4" s="445">
        <f>huishoudens!G8</f>
        <v>0</v>
      </c>
      <c r="H4" s="445">
        <f>huishoudens!H8</f>
        <v>0</v>
      </c>
      <c r="I4" s="445">
        <f>huishoudens!I8</f>
        <v>0</v>
      </c>
      <c r="J4" s="445">
        <f>huishoudens!J8</f>
        <v>32.832344583530478</v>
      </c>
      <c r="K4" s="445">
        <f>huishoudens!K8</f>
        <v>0</v>
      </c>
      <c r="L4" s="445">
        <f>huishoudens!L8</f>
        <v>0</v>
      </c>
      <c r="M4" s="445">
        <f>huishoudens!M8</f>
        <v>0</v>
      </c>
      <c r="N4" s="445">
        <f>huishoudens!N8</f>
        <v>2707.1424265206351</v>
      </c>
      <c r="O4" s="445">
        <f>huishoudens!O8</f>
        <v>25.013333333333335</v>
      </c>
      <c r="P4" s="446">
        <f>huishoudens!P8</f>
        <v>38.133333333333333</v>
      </c>
      <c r="Q4" s="447">
        <f>SUM(B4:P4)</f>
        <v>48985.362629066847</v>
      </c>
    </row>
    <row r="5" spans="1:17">
      <c r="A5" s="444" t="s">
        <v>155</v>
      </c>
      <c r="B5" s="445">
        <f ca="1">tertiair!B16</f>
        <v>7654.0011066845882</v>
      </c>
      <c r="C5" s="445">
        <f ca="1">tertiair!C16</f>
        <v>0</v>
      </c>
      <c r="D5" s="445">
        <f ca="1">tertiair!D16</f>
        <v>6249.2673237875833</v>
      </c>
      <c r="E5" s="445">
        <f>tertiair!E16</f>
        <v>90.67213102180753</v>
      </c>
      <c r="F5" s="445">
        <f ca="1">tertiair!F16</f>
        <v>1305.5152737159719</v>
      </c>
      <c r="G5" s="445">
        <f>tertiair!G16</f>
        <v>0</v>
      </c>
      <c r="H5" s="445">
        <f>tertiair!H16</f>
        <v>0</v>
      </c>
      <c r="I5" s="445">
        <f>tertiair!I16</f>
        <v>0</v>
      </c>
      <c r="J5" s="445">
        <f>tertiair!J16</f>
        <v>1.6659383393010294E-2</v>
      </c>
      <c r="K5" s="445">
        <f>tertiair!K16</f>
        <v>0</v>
      </c>
      <c r="L5" s="445">
        <f ca="1">tertiair!L16</f>
        <v>0</v>
      </c>
      <c r="M5" s="445">
        <f>tertiair!M16</f>
        <v>0</v>
      </c>
      <c r="N5" s="445">
        <f ca="1">tertiair!N16</f>
        <v>666.80121963089618</v>
      </c>
      <c r="O5" s="445">
        <f>tertiair!O16</f>
        <v>1.5633333333333335</v>
      </c>
      <c r="P5" s="446">
        <f>tertiair!P16</f>
        <v>0</v>
      </c>
      <c r="Q5" s="444">
        <f t="shared" ref="Q5:Q14" ca="1" si="0">SUM(B5:P5)</f>
        <v>15967.837047557572</v>
      </c>
    </row>
    <row r="6" spans="1:17">
      <c r="A6" s="444" t="s">
        <v>193</v>
      </c>
      <c r="B6" s="445">
        <f>'openbare verlichting'!B8</f>
        <v>303.73500000000001</v>
      </c>
      <c r="C6" s="445"/>
      <c r="D6" s="445"/>
      <c r="E6" s="445"/>
      <c r="F6" s="445"/>
      <c r="G6" s="445"/>
      <c r="H6" s="445"/>
      <c r="I6" s="445"/>
      <c r="J6" s="445"/>
      <c r="K6" s="445"/>
      <c r="L6" s="445"/>
      <c r="M6" s="445"/>
      <c r="N6" s="445"/>
      <c r="O6" s="445"/>
      <c r="P6" s="446"/>
      <c r="Q6" s="444">
        <f t="shared" si="0"/>
        <v>303.73500000000001</v>
      </c>
    </row>
    <row r="7" spans="1:17">
      <c r="A7" s="444" t="s">
        <v>111</v>
      </c>
      <c r="B7" s="445">
        <f>landbouw!B8</f>
        <v>75.935223418884405</v>
      </c>
      <c r="C7" s="445">
        <f>landbouw!C8</f>
        <v>0</v>
      </c>
      <c r="D7" s="445">
        <f>landbouw!D8</f>
        <v>58.708005800754918</v>
      </c>
      <c r="E7" s="445">
        <f>landbouw!E8</f>
        <v>2.2319681492233818</v>
      </c>
      <c r="F7" s="445">
        <f>landbouw!F8</f>
        <v>316.3420374389728</v>
      </c>
      <c r="G7" s="445">
        <f>landbouw!G8</f>
        <v>0</v>
      </c>
      <c r="H7" s="445">
        <f>landbouw!H8</f>
        <v>0</v>
      </c>
      <c r="I7" s="445">
        <f>landbouw!I8</f>
        <v>0</v>
      </c>
      <c r="J7" s="445">
        <f>landbouw!J8</f>
        <v>11.001383145806674</v>
      </c>
      <c r="K7" s="445">
        <f>landbouw!K8</f>
        <v>0</v>
      </c>
      <c r="L7" s="445">
        <f>landbouw!L8</f>
        <v>0</v>
      </c>
      <c r="M7" s="445">
        <f>landbouw!M8</f>
        <v>0</v>
      </c>
      <c r="N7" s="445">
        <f>landbouw!N8</f>
        <v>0</v>
      </c>
      <c r="O7" s="445">
        <f>landbouw!O8</f>
        <v>0</v>
      </c>
      <c r="P7" s="446">
        <f>landbouw!P8</f>
        <v>0</v>
      </c>
      <c r="Q7" s="444">
        <f t="shared" si="0"/>
        <v>464.21861795364219</v>
      </c>
    </row>
    <row r="8" spans="1:17">
      <c r="A8" s="444" t="s">
        <v>627</v>
      </c>
      <c r="B8" s="445">
        <f>industrie!B18</f>
        <v>350.54827182833606</v>
      </c>
      <c r="C8" s="445">
        <f>industrie!C18</f>
        <v>0</v>
      </c>
      <c r="D8" s="445">
        <f>industrie!D18</f>
        <v>655.41997999323871</v>
      </c>
      <c r="E8" s="445">
        <f>industrie!E18</f>
        <v>34.074389758775204</v>
      </c>
      <c r="F8" s="445">
        <f>industrie!F18</f>
        <v>107.0207391018298</v>
      </c>
      <c r="G8" s="445">
        <f>industrie!G18</f>
        <v>0</v>
      </c>
      <c r="H8" s="445">
        <f>industrie!H18</f>
        <v>0</v>
      </c>
      <c r="I8" s="445">
        <f>industrie!I18</f>
        <v>0</v>
      </c>
      <c r="J8" s="445">
        <f>industrie!J18</f>
        <v>1.032723760973443</v>
      </c>
      <c r="K8" s="445">
        <f>industrie!K18</f>
        <v>0</v>
      </c>
      <c r="L8" s="445">
        <f>industrie!L18</f>
        <v>0</v>
      </c>
      <c r="M8" s="445">
        <f>industrie!M18</f>
        <v>0</v>
      </c>
      <c r="N8" s="445">
        <f>industrie!N18</f>
        <v>25.118354647938858</v>
      </c>
      <c r="O8" s="445">
        <f>industrie!O18</f>
        <v>0</v>
      </c>
      <c r="P8" s="446">
        <f>industrie!P18</f>
        <v>0</v>
      </c>
      <c r="Q8" s="444">
        <f t="shared" si="0"/>
        <v>1173.2144590910918</v>
      </c>
    </row>
    <row r="9" spans="1:17" s="450" customFormat="1">
      <c r="A9" s="448" t="s">
        <v>553</v>
      </c>
      <c r="B9" s="449">
        <f>transport!B14</f>
        <v>10.484478772671073</v>
      </c>
      <c r="C9" s="449">
        <f>transport!C14</f>
        <v>0</v>
      </c>
      <c r="D9" s="449">
        <f>transport!D14</f>
        <v>22.528368147456291</v>
      </c>
      <c r="E9" s="449">
        <f>transport!E14</f>
        <v>37.957752526815071</v>
      </c>
      <c r="F9" s="449">
        <f>transport!F14</f>
        <v>0</v>
      </c>
      <c r="G9" s="449">
        <f>transport!G14</f>
        <v>11856.459008817927</v>
      </c>
      <c r="H9" s="449">
        <f>transport!H14</f>
        <v>3564.9496617022487</v>
      </c>
      <c r="I9" s="449">
        <f>transport!I14</f>
        <v>0</v>
      </c>
      <c r="J9" s="449">
        <f>transport!J14</f>
        <v>0</v>
      </c>
      <c r="K9" s="449">
        <f>transport!K14</f>
        <v>0</v>
      </c>
      <c r="L9" s="449">
        <f>transport!L14</f>
        <v>0</v>
      </c>
      <c r="M9" s="449">
        <f>transport!M14</f>
        <v>797.67376968068106</v>
      </c>
      <c r="N9" s="449">
        <f>transport!N14</f>
        <v>0</v>
      </c>
      <c r="O9" s="449">
        <f>transport!O14</f>
        <v>0</v>
      </c>
      <c r="P9" s="449">
        <f>transport!P14</f>
        <v>0</v>
      </c>
      <c r="Q9" s="448">
        <f>SUM(B9:P9)</f>
        <v>16290.053039647799</v>
      </c>
    </row>
    <row r="10" spans="1:17">
      <c r="A10" s="444" t="s">
        <v>543</v>
      </c>
      <c r="B10" s="445">
        <f>transport!B54</f>
        <v>2.7034727515369372</v>
      </c>
      <c r="C10" s="445">
        <f>transport!C54</f>
        <v>0</v>
      </c>
      <c r="D10" s="445">
        <f>transport!D54</f>
        <v>0</v>
      </c>
      <c r="E10" s="445">
        <f>transport!E54</f>
        <v>0</v>
      </c>
      <c r="F10" s="445">
        <f>transport!F54</f>
        <v>0</v>
      </c>
      <c r="G10" s="445">
        <f>transport!G54</f>
        <v>253.96443061708996</v>
      </c>
      <c r="H10" s="445">
        <f>transport!H54</f>
        <v>0</v>
      </c>
      <c r="I10" s="445">
        <f>transport!I54</f>
        <v>0</v>
      </c>
      <c r="J10" s="445">
        <f>transport!J54</f>
        <v>0</v>
      </c>
      <c r="K10" s="445">
        <f>transport!K54</f>
        <v>0</v>
      </c>
      <c r="L10" s="445">
        <f>transport!L54</f>
        <v>0</v>
      </c>
      <c r="M10" s="445">
        <f>transport!M54</f>
        <v>14.625049026965257</v>
      </c>
      <c r="N10" s="445">
        <f>transport!N54</f>
        <v>0</v>
      </c>
      <c r="O10" s="445">
        <f>transport!O54</f>
        <v>0</v>
      </c>
      <c r="P10" s="446">
        <f>transport!P54</f>
        <v>0</v>
      </c>
      <c r="Q10" s="444">
        <f t="shared" si="0"/>
        <v>271.29295239559218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216.28677401072298</v>
      </c>
      <c r="C14" s="452"/>
      <c r="D14" s="452">
        <f>'SEAP template'!E25</f>
        <v>855.42620140139593</v>
      </c>
      <c r="E14" s="452"/>
      <c r="F14" s="452"/>
      <c r="G14" s="452"/>
      <c r="H14" s="452"/>
      <c r="I14" s="452"/>
      <c r="J14" s="452"/>
      <c r="K14" s="452"/>
      <c r="L14" s="452"/>
      <c r="M14" s="452"/>
      <c r="N14" s="452"/>
      <c r="O14" s="452"/>
      <c r="P14" s="453"/>
      <c r="Q14" s="444">
        <f t="shared" si="0"/>
        <v>1071.7129754121188</v>
      </c>
    </row>
    <row r="15" spans="1:17" s="454" customFormat="1">
      <c r="A15" s="999" t="s">
        <v>547</v>
      </c>
      <c r="B15" s="947">
        <f ca="1">SUM(B4:B14)</f>
        <v>15827.86230487495</v>
      </c>
      <c r="C15" s="947">
        <f t="shared" ref="C15:Q15" ca="1" si="1">SUM(C4:C14)</f>
        <v>0</v>
      </c>
      <c r="D15" s="947">
        <f t="shared" ca="1" si="1"/>
        <v>39716.937188591808</v>
      </c>
      <c r="E15" s="947">
        <f t="shared" si="1"/>
        <v>434.24881181150113</v>
      </c>
      <c r="F15" s="947">
        <f t="shared" ca="1" si="1"/>
        <v>8552.0513843283097</v>
      </c>
      <c r="G15" s="947">
        <f t="shared" si="1"/>
        <v>12110.423439435017</v>
      </c>
      <c r="H15" s="947">
        <f t="shared" si="1"/>
        <v>3564.9496617022487</v>
      </c>
      <c r="I15" s="947">
        <f t="shared" si="1"/>
        <v>0</v>
      </c>
      <c r="J15" s="947">
        <f t="shared" si="1"/>
        <v>44.8831108737036</v>
      </c>
      <c r="K15" s="947">
        <f t="shared" si="1"/>
        <v>0</v>
      </c>
      <c r="L15" s="947">
        <f t="shared" ca="1" si="1"/>
        <v>0</v>
      </c>
      <c r="M15" s="947">
        <f t="shared" si="1"/>
        <v>812.29881870764632</v>
      </c>
      <c r="N15" s="947">
        <f t="shared" ca="1" si="1"/>
        <v>3399.0620007994703</v>
      </c>
      <c r="O15" s="947">
        <f t="shared" si="1"/>
        <v>26.576666666666668</v>
      </c>
      <c r="P15" s="947">
        <f t="shared" si="1"/>
        <v>38.133333333333333</v>
      </c>
      <c r="Q15" s="947">
        <f t="shared" ca="1" si="1"/>
        <v>84527.426721124662</v>
      </c>
    </row>
    <row r="17" spans="1:17">
      <c r="A17" s="455" t="s">
        <v>548</v>
      </c>
      <c r="B17" s="754">
        <f ca="1">huishoudens!B10</f>
        <v>0.21834589788936659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1575.1839845519112</v>
      </c>
      <c r="C22" s="445">
        <f t="shared" ref="C22:C32" ca="1" si="3">C4*$C$17</f>
        <v>0</v>
      </c>
      <c r="D22" s="445">
        <f t="shared" ref="D22:D32" si="4">D4*$D$17</f>
        <v>6438.8686365111998</v>
      </c>
      <c r="E22" s="445">
        <f t="shared" ref="E22:E32" si="5">E4*$E$17</f>
        <v>61.133953470557749</v>
      </c>
      <c r="F22" s="445">
        <f t="shared" ref="F22:F32" si="6">F4*$F$17</f>
        <v>1821.7872801970996</v>
      </c>
      <c r="G22" s="445">
        <f t="shared" ref="G22:G32" si="7">G4*$G$17</f>
        <v>0</v>
      </c>
      <c r="H22" s="445">
        <f t="shared" ref="H22:H32" si="8">H4*$H$17</f>
        <v>0</v>
      </c>
      <c r="I22" s="445">
        <f t="shared" ref="I22:I32" si="9">I4*$I$17</f>
        <v>0</v>
      </c>
      <c r="J22" s="445">
        <f t="shared" ref="J22:J32" si="10">J4*$J$17</f>
        <v>11.622649982569788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9908.5965047133377</v>
      </c>
    </row>
    <row r="23" spans="1:17">
      <c r="A23" s="444" t="s">
        <v>155</v>
      </c>
      <c r="B23" s="445">
        <f t="shared" ca="1" si="2"/>
        <v>1671.2197440852519</v>
      </c>
      <c r="C23" s="445">
        <f t="shared" ca="1" si="3"/>
        <v>0</v>
      </c>
      <c r="D23" s="445">
        <f t="shared" ca="1" si="4"/>
        <v>1262.3519994050919</v>
      </c>
      <c r="E23" s="445">
        <f t="shared" si="5"/>
        <v>20.582573741950309</v>
      </c>
      <c r="F23" s="445">
        <f t="shared" ca="1" si="6"/>
        <v>348.57257808216451</v>
      </c>
      <c r="G23" s="445">
        <f t="shared" si="7"/>
        <v>0</v>
      </c>
      <c r="H23" s="445">
        <f t="shared" si="8"/>
        <v>0</v>
      </c>
      <c r="I23" s="445">
        <f t="shared" si="9"/>
        <v>0</v>
      </c>
      <c r="J23" s="445">
        <f t="shared" si="10"/>
        <v>5.8974217211256435E-3</v>
      </c>
      <c r="K23" s="445">
        <f t="shared" si="11"/>
        <v>0</v>
      </c>
      <c r="L23" s="445">
        <f t="shared" ca="1" si="12"/>
        <v>0</v>
      </c>
      <c r="M23" s="445">
        <f t="shared" si="13"/>
        <v>0</v>
      </c>
      <c r="N23" s="445">
        <f t="shared" ca="1" si="14"/>
        <v>0</v>
      </c>
      <c r="O23" s="445">
        <f t="shared" si="15"/>
        <v>0</v>
      </c>
      <c r="P23" s="446">
        <f t="shared" si="16"/>
        <v>0</v>
      </c>
      <c r="Q23" s="444">
        <f t="shared" ref="Q23:Q32" ca="1" si="17">SUM(B23:P23)</f>
        <v>3302.7327927361798</v>
      </c>
    </row>
    <row r="24" spans="1:17">
      <c r="A24" s="444" t="s">
        <v>193</v>
      </c>
      <c r="B24" s="445">
        <f t="shared" ca="1" si="2"/>
        <v>66.319291295426765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66.319291295426765</v>
      </c>
    </row>
    <row r="25" spans="1:17">
      <c r="A25" s="444" t="s">
        <v>111</v>
      </c>
      <c r="B25" s="445">
        <f t="shared" ca="1" si="2"/>
        <v>16.580144538825973</v>
      </c>
      <c r="C25" s="445">
        <f t="shared" ca="1" si="3"/>
        <v>0</v>
      </c>
      <c r="D25" s="445">
        <f t="shared" si="4"/>
        <v>11.859017171752495</v>
      </c>
      <c r="E25" s="445">
        <f t="shared" si="5"/>
        <v>0.50665676987370767</v>
      </c>
      <c r="F25" s="445">
        <f t="shared" si="6"/>
        <v>84.463323996205744</v>
      </c>
      <c r="G25" s="445">
        <f t="shared" si="7"/>
        <v>0</v>
      </c>
      <c r="H25" s="445">
        <f t="shared" si="8"/>
        <v>0</v>
      </c>
      <c r="I25" s="445">
        <f t="shared" si="9"/>
        <v>0</v>
      </c>
      <c r="J25" s="445">
        <f t="shared" si="10"/>
        <v>3.8944896336155623</v>
      </c>
      <c r="K25" s="445">
        <f t="shared" si="11"/>
        <v>0</v>
      </c>
      <c r="L25" s="445">
        <f t="shared" si="12"/>
        <v>0</v>
      </c>
      <c r="M25" s="445">
        <f t="shared" si="13"/>
        <v>0</v>
      </c>
      <c r="N25" s="445">
        <f t="shared" si="14"/>
        <v>0</v>
      </c>
      <c r="O25" s="445">
        <f t="shared" si="15"/>
        <v>0</v>
      </c>
      <c r="P25" s="446">
        <f t="shared" si="16"/>
        <v>0</v>
      </c>
      <c r="Q25" s="444">
        <f t="shared" ca="1" si="17"/>
        <v>117.30363211027348</v>
      </c>
    </row>
    <row r="26" spans="1:17">
      <c r="A26" s="444" t="s">
        <v>627</v>
      </c>
      <c r="B26" s="445">
        <f t="shared" ca="1" si="2"/>
        <v>76.540777165923785</v>
      </c>
      <c r="C26" s="445">
        <f t="shared" ca="1" si="3"/>
        <v>0</v>
      </c>
      <c r="D26" s="445">
        <f t="shared" si="4"/>
        <v>132.39483595863422</v>
      </c>
      <c r="E26" s="445">
        <f t="shared" si="5"/>
        <v>7.7348864752419715</v>
      </c>
      <c r="F26" s="445">
        <f t="shared" si="6"/>
        <v>28.574537340188559</v>
      </c>
      <c r="G26" s="445">
        <f t="shared" si="7"/>
        <v>0</v>
      </c>
      <c r="H26" s="445">
        <f t="shared" si="8"/>
        <v>0</v>
      </c>
      <c r="I26" s="445">
        <f t="shared" si="9"/>
        <v>0</v>
      </c>
      <c r="J26" s="445">
        <f t="shared" si="10"/>
        <v>0.36558421138459879</v>
      </c>
      <c r="K26" s="445">
        <f t="shared" si="11"/>
        <v>0</v>
      </c>
      <c r="L26" s="445">
        <f t="shared" si="12"/>
        <v>0</v>
      </c>
      <c r="M26" s="445">
        <f t="shared" si="13"/>
        <v>0</v>
      </c>
      <c r="N26" s="445">
        <f t="shared" si="14"/>
        <v>0</v>
      </c>
      <c r="O26" s="445">
        <f t="shared" si="15"/>
        <v>0</v>
      </c>
      <c r="P26" s="446">
        <f t="shared" si="16"/>
        <v>0</v>
      </c>
      <c r="Q26" s="444">
        <f t="shared" ca="1" si="17"/>
        <v>245.61062115137315</v>
      </c>
    </row>
    <row r="27" spans="1:17" s="450" customFormat="1">
      <c r="A27" s="448" t="s">
        <v>553</v>
      </c>
      <c r="B27" s="748">
        <f t="shared" ca="1" si="2"/>
        <v>2.2892429315208696</v>
      </c>
      <c r="C27" s="449">
        <f t="shared" ca="1" si="3"/>
        <v>0</v>
      </c>
      <c r="D27" s="449">
        <f t="shared" si="4"/>
        <v>4.5507303657861709</v>
      </c>
      <c r="E27" s="449">
        <f t="shared" si="5"/>
        <v>8.6164098235870217</v>
      </c>
      <c r="F27" s="449">
        <f t="shared" si="6"/>
        <v>0</v>
      </c>
      <c r="G27" s="449">
        <f t="shared" si="7"/>
        <v>3165.6745553543865</v>
      </c>
      <c r="H27" s="449">
        <f t="shared" si="8"/>
        <v>887.67246576385992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4068.80340423914</v>
      </c>
    </row>
    <row r="28" spans="1:17">
      <c r="A28" s="444" t="s">
        <v>543</v>
      </c>
      <c r="B28" s="445">
        <f t="shared" ca="1" si="2"/>
        <v>0.59029218535376904</v>
      </c>
      <c r="C28" s="445">
        <f t="shared" ca="1" si="3"/>
        <v>0</v>
      </c>
      <c r="D28" s="445">
        <f t="shared" si="4"/>
        <v>0</v>
      </c>
      <c r="E28" s="445">
        <f t="shared" si="5"/>
        <v>0</v>
      </c>
      <c r="F28" s="445">
        <f t="shared" si="6"/>
        <v>0</v>
      </c>
      <c r="G28" s="445">
        <f t="shared" si="7"/>
        <v>67.80850297476303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68.398795160116805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47.22532987296583</v>
      </c>
      <c r="C32" s="445">
        <f t="shared" ca="1" si="3"/>
        <v>0</v>
      </c>
      <c r="D32" s="445">
        <f t="shared" si="4"/>
        <v>172.79609268308198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220.02142255604781</v>
      </c>
    </row>
    <row r="33" spans="1:17" s="454" customFormat="1">
      <c r="A33" s="999" t="s">
        <v>547</v>
      </c>
      <c r="B33" s="947">
        <f ca="1">SUM(B22:B32)</f>
        <v>3455.9488066271801</v>
      </c>
      <c r="C33" s="947">
        <f t="shared" ref="C33:Q33" ca="1" si="18">SUM(C22:C32)</f>
        <v>0</v>
      </c>
      <c r="D33" s="947">
        <f t="shared" ca="1" si="18"/>
        <v>8022.8213120955461</v>
      </c>
      <c r="E33" s="947">
        <f t="shared" si="18"/>
        <v>98.574480281210754</v>
      </c>
      <c r="F33" s="947">
        <f t="shared" ca="1" si="18"/>
        <v>2283.3977196156588</v>
      </c>
      <c r="G33" s="947">
        <f t="shared" si="18"/>
        <v>3233.4830583291496</v>
      </c>
      <c r="H33" s="947">
        <f t="shared" si="18"/>
        <v>887.67246576385992</v>
      </c>
      <c r="I33" s="947">
        <f t="shared" si="18"/>
        <v>0</v>
      </c>
      <c r="J33" s="947">
        <f t="shared" si="18"/>
        <v>15.888621249291075</v>
      </c>
      <c r="K33" s="947">
        <f t="shared" si="18"/>
        <v>0</v>
      </c>
      <c r="L33" s="947">
        <f t="shared" ca="1" si="18"/>
        <v>0</v>
      </c>
      <c r="M33" s="947">
        <f t="shared" si="18"/>
        <v>0</v>
      </c>
      <c r="N33" s="947">
        <f t="shared" ca="1" si="18"/>
        <v>0</v>
      </c>
      <c r="O33" s="947">
        <f t="shared" si="18"/>
        <v>0</v>
      </c>
      <c r="P33" s="947">
        <f t="shared" si="18"/>
        <v>0</v>
      </c>
      <c r="Q33" s="947">
        <f t="shared" ca="1" si="18"/>
        <v>17997.786463961897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190.08489932209616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190.08489932209616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0.21834589788936659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0.21834589788936659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0.21834589788936659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0.21834589788936659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1947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144.01</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13</v>
      </c>
      <c r="C17" s="324"/>
      <c r="D17" s="324"/>
      <c r="E17" s="324"/>
      <c r="F17" s="324"/>
    </row>
    <row r="18" spans="1:6">
      <c r="A18" s="1291" t="s">
        <v>8</v>
      </c>
      <c r="B18" s="1292">
        <v>13</v>
      </c>
      <c r="C18" s="324"/>
      <c r="D18" s="324"/>
      <c r="E18" s="324"/>
      <c r="F18" s="324"/>
    </row>
    <row r="19" spans="1:6">
      <c r="A19" s="1291" t="s">
        <v>9</v>
      </c>
      <c r="B19" s="1292">
        <v>16</v>
      </c>
      <c r="C19" s="324"/>
      <c r="D19" s="324"/>
      <c r="E19" s="324"/>
      <c r="F19" s="324"/>
    </row>
    <row r="20" spans="1:6">
      <c r="A20" s="1291" t="s">
        <v>10</v>
      </c>
      <c r="B20" s="1292">
        <v>10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0</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4990</v>
      </c>
    </row>
    <row r="39" spans="1:6">
      <c r="A39" s="1291" t="s">
        <v>29</v>
      </c>
      <c r="B39" s="1291" t="s">
        <v>30</v>
      </c>
      <c r="C39" s="1292">
        <v>1560</v>
      </c>
      <c r="D39" s="1292">
        <v>35338788.591420598</v>
      </c>
      <c r="E39" s="1292">
        <v>1905</v>
      </c>
      <c r="F39" s="1292">
        <v>7052995.8005280001</v>
      </c>
    </row>
    <row r="40" spans="1:6">
      <c r="A40" s="1291" t="s">
        <v>29</v>
      </c>
      <c r="B40" s="1291" t="s">
        <v>28</v>
      </c>
      <c r="C40" s="1292">
        <v>0</v>
      </c>
      <c r="D40" s="1292">
        <v>0</v>
      </c>
      <c r="E40" s="1292">
        <v>0</v>
      </c>
      <c r="F40" s="1292">
        <v>0</v>
      </c>
    </row>
    <row r="41" spans="1:6">
      <c r="A41" s="1291" t="s">
        <v>31</v>
      </c>
      <c r="B41" s="1291" t="s">
        <v>32</v>
      </c>
      <c r="C41" s="1292">
        <v>0</v>
      </c>
      <c r="D41" s="1292">
        <v>0</v>
      </c>
      <c r="E41" s="1292">
        <v>10</v>
      </c>
      <c r="F41" s="1292">
        <v>62076.415278926099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726629.68957121798</v>
      </c>
      <c r="E48" s="1292">
        <v>20</v>
      </c>
      <c r="F48" s="1292">
        <v>288471.85654940997</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1</v>
      </c>
      <c r="D52" s="1292">
        <v>65086.4809321008</v>
      </c>
      <c r="E52" s="1292">
        <v>2</v>
      </c>
      <c r="F52" s="1292">
        <v>75935.223418884401</v>
      </c>
    </row>
    <row r="53" spans="1:6">
      <c r="A53" s="1291" t="s">
        <v>43</v>
      </c>
      <c r="B53" s="1291" t="s">
        <v>44</v>
      </c>
      <c r="C53" s="1292">
        <v>40</v>
      </c>
      <c r="D53" s="1292">
        <v>855426.20140139596</v>
      </c>
      <c r="E53" s="1292">
        <v>59</v>
      </c>
      <c r="F53" s="1292">
        <v>216286.77401072299</v>
      </c>
    </row>
    <row r="54" spans="1:6">
      <c r="A54" s="1291" t="s">
        <v>45</v>
      </c>
      <c r="B54" s="1291" t="s">
        <v>46</v>
      </c>
      <c r="C54" s="1292">
        <v>0</v>
      </c>
      <c r="D54" s="1292">
        <v>0</v>
      </c>
      <c r="E54" s="1292">
        <v>1</v>
      </c>
      <c r="F54" s="1292">
        <v>303735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303855.60073290003</v>
      </c>
      <c r="E57" s="1292">
        <v>8</v>
      </c>
      <c r="F57" s="1292">
        <v>59197.086171782597</v>
      </c>
    </row>
    <row r="58" spans="1:6">
      <c r="A58" s="1291" t="s">
        <v>48</v>
      </c>
      <c r="B58" s="1291" t="s">
        <v>50</v>
      </c>
      <c r="C58" s="1292">
        <v>6</v>
      </c>
      <c r="D58" s="1292">
        <v>189718.48891923099</v>
      </c>
      <c r="E58" s="1292">
        <v>7</v>
      </c>
      <c r="F58" s="1292">
        <v>41234.342299861397</v>
      </c>
    </row>
    <row r="59" spans="1:6">
      <c r="A59" s="1291" t="s">
        <v>48</v>
      </c>
      <c r="B59" s="1291" t="s">
        <v>51</v>
      </c>
      <c r="C59" s="1292">
        <v>9</v>
      </c>
      <c r="D59" s="1292">
        <v>171653.70872481901</v>
      </c>
      <c r="E59" s="1292">
        <v>19</v>
      </c>
      <c r="F59" s="1292">
        <v>238590.54777170901</v>
      </c>
    </row>
    <row r="60" spans="1:6">
      <c r="A60" s="1291" t="s">
        <v>48</v>
      </c>
      <c r="B60" s="1291" t="s">
        <v>52</v>
      </c>
      <c r="C60" s="1292">
        <v>12</v>
      </c>
      <c r="D60" s="1292">
        <v>749872.46575206204</v>
      </c>
      <c r="E60" s="1292">
        <v>14</v>
      </c>
      <c r="F60" s="1292">
        <v>216338.57997067799</v>
      </c>
    </row>
    <row r="61" spans="1:6">
      <c r="A61" s="1291" t="s">
        <v>48</v>
      </c>
      <c r="B61" s="1291" t="s">
        <v>53</v>
      </c>
      <c r="C61" s="1292">
        <v>63</v>
      </c>
      <c r="D61" s="1292">
        <v>2241235.8140068599</v>
      </c>
      <c r="E61" s="1292">
        <v>97</v>
      </c>
      <c r="F61" s="1292">
        <v>749564.98993744794</v>
      </c>
    </row>
    <row r="62" spans="1:6">
      <c r="A62" s="1291" t="s">
        <v>48</v>
      </c>
      <c r="B62" s="1291" t="s">
        <v>54</v>
      </c>
      <c r="C62" s="1292">
        <v>0</v>
      </c>
      <c r="D62" s="1292">
        <v>0</v>
      </c>
      <c r="E62" s="1292">
        <v>0</v>
      </c>
      <c r="F62" s="1292">
        <v>0</v>
      </c>
    </row>
    <row r="63" spans="1:6">
      <c r="A63" s="1291" t="s">
        <v>48</v>
      </c>
      <c r="B63" s="1291" t="s">
        <v>28</v>
      </c>
      <c r="C63" s="1292">
        <v>58</v>
      </c>
      <c r="D63" s="1292">
        <v>3271898.2054423802</v>
      </c>
      <c r="E63" s="1292">
        <v>75</v>
      </c>
      <c r="F63" s="1292">
        <v>6349075.5605331101</v>
      </c>
    </row>
    <row r="64" spans="1:6">
      <c r="A64" s="1291" t="s">
        <v>55</v>
      </c>
      <c r="B64" s="1291" t="s">
        <v>56</v>
      </c>
      <c r="C64" s="1292">
        <v>0</v>
      </c>
      <c r="D64" s="1292">
        <v>0</v>
      </c>
      <c r="E64" s="1292">
        <v>0</v>
      </c>
      <c r="F64" s="1292">
        <v>0</v>
      </c>
    </row>
    <row r="65" spans="1:6">
      <c r="A65" s="1291" t="s">
        <v>55</v>
      </c>
      <c r="B65" s="1291" t="s">
        <v>28</v>
      </c>
      <c r="C65" s="1292">
        <v>3</v>
      </c>
      <c r="D65" s="1292">
        <v>139638.628403646</v>
      </c>
      <c r="E65" s="1292">
        <v>3</v>
      </c>
      <c r="F65" s="1292">
        <v>24253.559961669202</v>
      </c>
    </row>
    <row r="66" spans="1:6">
      <c r="A66" s="1291" t="s">
        <v>55</v>
      </c>
      <c r="B66" s="1291" t="s">
        <v>57</v>
      </c>
      <c r="C66" s="1292">
        <v>0</v>
      </c>
      <c r="D66" s="1292">
        <v>0</v>
      </c>
      <c r="E66" s="1292">
        <v>3</v>
      </c>
      <c r="F66" s="1292">
        <v>90764.712943213206</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0</v>
      </c>
      <c r="E73" s="443"/>
      <c r="F73" s="324"/>
    </row>
    <row r="74" spans="1:6">
      <c r="A74" s="1291" t="s">
        <v>63</v>
      </c>
      <c r="B74" s="1291" t="s">
        <v>648</v>
      </c>
      <c r="C74" s="1305" t="s">
        <v>650</v>
      </c>
      <c r="D74" s="1306">
        <v>0</v>
      </c>
      <c r="E74" s="443"/>
      <c r="F74" s="324"/>
    </row>
    <row r="75" spans="1:6">
      <c r="A75" s="1291" t="s">
        <v>64</v>
      </c>
      <c r="B75" s="1291" t="s">
        <v>647</v>
      </c>
      <c r="C75" s="1305" t="s">
        <v>651</v>
      </c>
      <c r="D75" s="1306">
        <v>16219757</v>
      </c>
      <c r="E75" s="443"/>
      <c r="F75" s="324"/>
    </row>
    <row r="76" spans="1:6">
      <c r="A76" s="1291" t="s">
        <v>64</v>
      </c>
      <c r="B76" s="1291" t="s">
        <v>648</v>
      </c>
      <c r="C76" s="1305" t="s">
        <v>652</v>
      </c>
      <c r="D76" s="1306">
        <v>413206</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73788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161.17217688020946</v>
      </c>
      <c r="C91" s="324"/>
      <c r="D91" s="324"/>
      <c r="E91" s="324"/>
      <c r="F91" s="324"/>
    </row>
    <row r="92" spans="1:6">
      <c r="A92" s="1286" t="s">
        <v>68</v>
      </c>
      <c r="B92" s="1287">
        <v>28.912722441886697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1194</v>
      </c>
      <c r="C97" s="324"/>
      <c r="D97" s="324"/>
      <c r="E97" s="324"/>
      <c r="F97" s="324"/>
    </row>
    <row r="98" spans="1:6">
      <c r="A98" s="1291" t="s">
        <v>71</v>
      </c>
      <c r="B98" s="1292">
        <v>0</v>
      </c>
      <c r="C98" s="324"/>
      <c r="D98" s="324"/>
      <c r="E98" s="324"/>
      <c r="F98" s="324"/>
    </row>
    <row r="99" spans="1:6">
      <c r="A99" s="1291" t="s">
        <v>72</v>
      </c>
      <c r="B99" s="1292">
        <v>9</v>
      </c>
      <c r="C99" s="324"/>
      <c r="D99" s="324"/>
      <c r="E99" s="324"/>
      <c r="F99" s="324"/>
    </row>
    <row r="100" spans="1:6">
      <c r="A100" s="1291" t="s">
        <v>73</v>
      </c>
      <c r="B100" s="1292">
        <v>91</v>
      </c>
      <c r="C100" s="324"/>
      <c r="D100" s="324"/>
      <c r="E100" s="324"/>
      <c r="F100" s="324"/>
    </row>
    <row r="101" spans="1:6">
      <c r="A101" s="1291" t="s">
        <v>74</v>
      </c>
      <c r="B101" s="1292">
        <v>14</v>
      </c>
      <c r="C101" s="324"/>
      <c r="D101" s="324"/>
      <c r="E101" s="324"/>
      <c r="F101" s="324"/>
    </row>
    <row r="102" spans="1:6">
      <c r="A102" s="1291" t="s">
        <v>75</v>
      </c>
      <c r="B102" s="1292">
        <v>42</v>
      </c>
      <c r="C102" s="324"/>
      <c r="D102" s="324"/>
      <c r="E102" s="324"/>
      <c r="F102" s="324"/>
    </row>
    <row r="103" spans="1:6">
      <c r="A103" s="1291" t="s">
        <v>76</v>
      </c>
      <c r="B103" s="1292">
        <v>15</v>
      </c>
      <c r="C103" s="324"/>
      <c r="D103" s="324"/>
      <c r="E103" s="324"/>
      <c r="F103" s="324"/>
    </row>
    <row r="104" spans="1:6">
      <c r="A104" s="1291" t="s">
        <v>77</v>
      </c>
      <c r="B104" s="1292">
        <v>480</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v>
      </c>
      <c r="C123" s="1292">
        <v>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15</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15827.862304874949</v>
      </c>
      <c r="C3" s="43" t="s">
        <v>169</v>
      </c>
      <c r="D3" s="43"/>
      <c r="E3" s="154"/>
      <c r="F3" s="43"/>
      <c r="G3" s="43"/>
      <c r="H3" s="43"/>
      <c r="I3" s="43"/>
      <c r="J3" s="43"/>
      <c r="K3" s="96"/>
    </row>
    <row r="4" spans="1:11">
      <c r="A4" s="352" t="s">
        <v>170</v>
      </c>
      <c r="B4" s="49">
        <f>IF(ISERROR('SEAP template'!B78+'SEAP template'!C78),0,'SEAP template'!B78+'SEAP template'!C78)</f>
        <v>190.08489932209616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0.21834589788936659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303.73500000000001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0.21834589788936659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66.319291295426765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B32*B41</f>
        <v>269.31257035487994</v>
      </c>
      <c r="F5" s="17">
        <f>B36*B45</f>
        <v>6823.1733340715336</v>
      </c>
      <c r="G5" s="18"/>
      <c r="H5" s="17"/>
      <c r="I5" s="17"/>
      <c r="J5" s="17">
        <f>B35*B44+C35*C44</f>
        <v>32.832344583530478</v>
      </c>
      <c r="K5" s="17"/>
      <c r="L5" s="17"/>
      <c r="M5" s="17"/>
      <c r="N5" s="17">
        <f>B34*B43+C34*C43</f>
        <v>2707.1424265206351</v>
      </c>
      <c r="O5" s="17">
        <f>B52*B53*B54</f>
        <v>25.013333333333335</v>
      </c>
      <c r="P5" s="17">
        <f>B60*B61*B62/1000-B60*B61*B62/1000/B63</f>
        <v>38.133333333333333</v>
      </c>
    </row>
    <row r="6" spans="1:16">
      <c r="A6" s="16" t="s">
        <v>613</v>
      </c>
      <c r="B6" s="756">
        <f>kWh_PV_kleiner_dan_10kW</f>
        <v>161.17217688020946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7214.1679774082095</v>
      </c>
      <c r="C8" s="21">
        <f>C5</f>
        <v>0</v>
      </c>
      <c r="D8" s="21">
        <f>D5</f>
        <v>31875.587309461382</v>
      </c>
      <c r="E8" s="21">
        <f>E5</f>
        <v>269.31257035487994</v>
      </c>
      <c r="F8" s="21">
        <f>F5</f>
        <v>6823.1733340715336</v>
      </c>
      <c r="G8" s="21"/>
      <c r="H8" s="21"/>
      <c r="I8" s="21"/>
      <c r="J8" s="21">
        <f>J5</f>
        <v>32.832344583530478</v>
      </c>
      <c r="K8" s="21"/>
      <c r="L8" s="21">
        <f>L5</f>
        <v>0</v>
      </c>
      <c r="M8" s="21">
        <f>M5</f>
        <v>0</v>
      </c>
      <c r="N8" s="21">
        <f>N5</f>
        <v>2707.1424265206351</v>
      </c>
      <c r="O8" s="21">
        <f>O5</f>
        <v>25.013333333333335</v>
      </c>
      <c r="P8" s="21">
        <f>P5</f>
        <v>38.133333333333333</v>
      </c>
    </row>
    <row r="9" spans="1:16">
      <c r="B9" s="19"/>
      <c r="C9" s="19"/>
      <c r="D9" s="254"/>
      <c r="E9" s="19"/>
      <c r="F9" s="19"/>
      <c r="G9" s="19"/>
      <c r="H9" s="19"/>
      <c r="I9" s="19"/>
      <c r="J9" s="19"/>
      <c r="K9" s="19"/>
      <c r="L9" s="19"/>
      <c r="M9" s="19"/>
      <c r="N9" s="19"/>
      <c r="O9" s="19"/>
      <c r="P9" s="19"/>
    </row>
    <row r="10" spans="1:16">
      <c r="A10" s="24" t="s">
        <v>213</v>
      </c>
      <c r="B10" s="25">
        <f ca="1">'EF ele_warmte'!B12</f>
        <v>0.21834589788936659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1575.1839845519112</v>
      </c>
      <c r="C12" s="23">
        <f ca="1">C10*C8</f>
        <v>0</v>
      </c>
      <c r="D12" s="23">
        <f>D8*D10</f>
        <v>6438.8686365111998</v>
      </c>
      <c r="E12" s="23">
        <f>E10*E8</f>
        <v>61.133953470557749</v>
      </c>
      <c r="F12" s="23">
        <f>F10*F8</f>
        <v>1821.7872801970996</v>
      </c>
      <c r="G12" s="23"/>
      <c r="H12" s="23"/>
      <c r="I12" s="23"/>
      <c r="J12" s="23">
        <f>J10*J8</f>
        <v>11.622649982569788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1947</v>
      </c>
      <c r="C26" s="36"/>
      <c r="D26" s="225"/>
    </row>
    <row r="27" spans="1:5" s="15" customFormat="1">
      <c r="A27" s="227" t="s">
        <v>768</v>
      </c>
      <c r="B27" s="37">
        <f>SUM(HH_hh_gas_aantal,HH_rest_gas_aantal)</f>
        <v>1560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1482</v>
      </c>
      <c r="C31" s="34" t="s">
        <v>110</v>
      </c>
      <c r="D31" s="171"/>
    </row>
    <row r="32" spans="1:5">
      <c r="A32" s="168" t="s">
        <v>72</v>
      </c>
      <c r="B32" s="33">
        <f>IF((B21*($B$26-($B$27-0.05*$B$27)-$B$60))&lt;0,0,B21*($B$26-($B$27-0.05*$B$27)-$B$60))</f>
        <v>5.093228860616799</v>
      </c>
      <c r="C32" s="34" t="s">
        <v>110</v>
      </c>
      <c r="D32" s="171"/>
    </row>
    <row r="33" spans="1:6">
      <c r="A33" s="168" t="s">
        <v>73</v>
      </c>
      <c r="B33" s="33">
        <f>IF((B22*($B$26-($B$27-0.05*$B$27)-$B$60))&lt;0,0,B22*($B$26-($B$27-0.05*$B$27)-$B$60))</f>
        <v>105.89250514937376</v>
      </c>
      <c r="C33" s="34" t="s">
        <v>110</v>
      </c>
      <c r="D33" s="171"/>
    </row>
    <row r="34" spans="1:6">
      <c r="A34" s="168" t="s">
        <v>74</v>
      </c>
      <c r="B34" s="33">
        <f>IF((B24*($B$26-($B$27-0.05*$B$27)-$B$60))&lt;0,0,B24*($B$26-($B$27-0.05*$B$27)-$B$60))</f>
        <v>21.058254864830026</v>
      </c>
      <c r="C34" s="33">
        <f>B26*C24</f>
        <v>398.54223999994224</v>
      </c>
      <c r="D34" s="230"/>
    </row>
    <row r="35" spans="1:6">
      <c r="A35" s="168" t="s">
        <v>76</v>
      </c>
      <c r="B35" s="33">
        <f>IF((B19*($B$26-($B$27-0.05*$B$27)-$B$60))&lt;0,0,B19*($B$26-($B$27-0.05*$B$27)-$B$60))</f>
        <v>3.8550250411682878</v>
      </c>
      <c r="C35" s="33">
        <f>B35/2</f>
        <v>1.9275125205841439</v>
      </c>
      <c r="D35" s="230"/>
    </row>
    <row r="36" spans="1:6">
      <c r="A36" s="168" t="s">
        <v>77</v>
      </c>
      <c r="B36" s="33">
        <f>IF((B18*($B$26-($B$27-0.05*$B$27)-$B$60))&lt;0,0,B18*($B$26-($B$27-0.05*$B$27)-$B$60))</f>
        <v>327.10098608401114</v>
      </c>
      <c r="C36" s="34" t="s">
        <v>110</v>
      </c>
      <c r="D36" s="171"/>
    </row>
    <row r="37" spans="1:6">
      <c r="A37" s="168" t="s">
        <v>78</v>
      </c>
      <c r="B37" s="33">
        <f>B60</f>
        <v>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53</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52</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51</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50</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49</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0.21834589788936659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1671.2197440852519</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749.56498993744799</v>
      </c>
      <c r="C26" s="39">
        <f>IF(ISERROR(B26*3.6/1000000/'E Balans VL '!Z12*100),0,B26*3.6/1000000/'E Balans VL '!Z12*100)</f>
        <v>1.5844616480420719E-2</v>
      </c>
      <c r="D26" s="233" t="s">
        <v>732</v>
      </c>
      <c r="F26" s="6"/>
    </row>
    <row r="27" spans="1:18">
      <c r="A27" s="228" t="s">
        <v>52</v>
      </c>
      <c r="B27" s="33">
        <f>IF(ISERROR(TER_horeca_ele_kWh/1000),0,TER_horeca_ele_kWh/1000)</f>
        <v>216.33857997067798</v>
      </c>
      <c r="C27" s="39">
        <f>IF(ISERROR(B27*3.6/1000000/'E Balans VL '!Z9*100),0,B27*3.6/1000000/'E Balans VL '!Z9*100)</f>
        <v>1.70538896255833E-2</v>
      </c>
      <c r="D27" s="233" t="s">
        <v>732</v>
      </c>
      <c r="F27" s="6"/>
    </row>
    <row r="28" spans="1:18">
      <c r="A28" s="168" t="s">
        <v>51</v>
      </c>
      <c r="B28" s="33">
        <f>IF(ISERROR(TER_handel_ele_kWh/1000),0,TER_handel_ele_kWh/1000)</f>
        <v>238.590547771709</v>
      </c>
      <c r="C28" s="39">
        <f>IF(ISERROR(B28*3.6/1000000/'E Balans VL '!Z13*100),0,B28*3.6/1000000/'E Balans VL '!Z13*100)</f>
        <v>6.9248617101716281E-3</v>
      </c>
      <c r="D28" s="233" t="s">
        <v>732</v>
      </c>
      <c r="F28" s="6"/>
    </row>
    <row r="29" spans="1:18">
      <c r="A29" s="228" t="s">
        <v>50</v>
      </c>
      <c r="B29" s="33">
        <f>IF(ISERROR(TER_gezond_ele_kWh/1000),0,TER_gezond_ele_kWh/1000)</f>
        <v>41.234342299861396</v>
      </c>
      <c r="C29" s="39">
        <f>IF(ISERROR(B29*3.6/1000000/'E Balans VL '!Z10*100),0,B29*3.6/1000000/'E Balans VL '!Z10*100)</f>
        <v>4.3426533299484159E-3</v>
      </c>
      <c r="D29" s="233" t="s">
        <v>732</v>
      </c>
      <c r="F29" s="6"/>
    </row>
    <row r="30" spans="1:18">
      <c r="A30" s="228" t="s">
        <v>49</v>
      </c>
      <c r="B30" s="33">
        <f>IF(ISERROR(TER_ander_ele_kWh/1000),0,TER_ander_ele_kWh/1000)</f>
        <v>59.197086171782594</v>
      </c>
      <c r="C30" s="39">
        <f>IF(ISERROR(B30*3.6/1000000/'E Balans VL '!Z14*100),0,B30*3.6/1000000/'E Balans VL '!Z14*100)</f>
        <v>4.3663899335738424E-3</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6349.0755605331096</v>
      </c>
      <c r="C32" s="39">
        <f>IF(ISERROR(B32*3.6/1000000/'E Balans VL '!Z8*100),0,B32*3.6/1000000/'E Balans VL '!Z8*100)</f>
        <v>5.2244464322062679E-2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25.118354647938858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4.8691897042241603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20.249164943714696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25.118354647938858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0.21834589788936659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76.540777165923785</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62.076415278926099</v>
      </c>
      <c r="C31" s="39">
        <f>IF(ISERROR(B31*3.6/1000000/'E Balans VL '!Z19*100),0,B31*3.6/1000000/'E Balans VL '!Z19*100)</f>
        <v>2.8155277153576611E-3</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288.47185654940995</v>
      </c>
      <c r="C37" s="39">
        <f>IF(ISERROR(B37*3.6/1000000/'E Balans VL '!Z15*100),0,B37*3.6/1000000/'E Balans VL '!Z15*100)</f>
        <v>2.2864937402873771E-3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75.935223418884405</v>
      </c>
      <c r="C5" s="17">
        <f>'Eigen informatie GS &amp; warmtenet'!B60</f>
        <v>0</v>
      </c>
      <c r="D5" s="30">
        <f>IF(ISERROR(SUM(LB_lb_gas_kWh,LB_rest_gas_kWh)/1000),0,SUM(LB_lb_gas_kWh,LB_rest_gas_kWh)/1000)*0.902</f>
        <v>58.708005800754918</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75.935223418884405</v>
      </c>
      <c r="C8" s="21">
        <f>C5+C6</f>
        <v>0</v>
      </c>
      <c r="D8" s="21">
        <f>MAX((D5+D6),0)</f>
        <v>58.708005800754918</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0.21834589788936659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16.580144538825973</v>
      </c>
      <c r="C12" s="23">
        <f ca="1">C8*C10</f>
        <v>0</v>
      </c>
      <c r="D12" s="23">
        <f>D8*D10</f>
        <v>11.859017171752495</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1.077544644263761E-2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2.493193989434221</v>
      </c>
      <c r="C26" s="243">
        <f>B26*'GWP N2O_CH4'!B5</f>
        <v>52.357073778118639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0.15517014171141172</v>
      </c>
      <c r="C27" s="243">
        <f>B27*'GWP N2O_CH4'!B5</f>
        <v>3.258572975939646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3">
        <f>B28*'GWP N2O_CH4'!B4</f>
        <v>14.256591614380019</v>
      </c>
      <c r="D28" s="50"/>
    </row>
    <row r="29" spans="1:4">
      <c r="A29" s="41" t="s">
        <v>271</v>
      </c>
      <c r="B29" s="243">
        <f>B34*'ha_N2O bodem landbouw'!B4</f>
        <v>0.93696367784662216</v>
      </c>
      <c r="C29" s="243">
        <f>B29*'GWP N2O_CH4'!B4</f>
        <v>290.45874013245287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2.1381188236412009E-4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3.7744123581615864E-5</v>
      </c>
      <c r="C5" s="431" t="s">
        <v>210</v>
      </c>
      <c r="D5" s="416">
        <f>SUM(D6:D11)</f>
        <v>8.1102125330842652E-5</v>
      </c>
      <c r="E5" s="416">
        <f>SUM(E6:E11)</f>
        <v>1.3664790909653424E-4</v>
      </c>
      <c r="F5" s="429" t="s">
        <v>210</v>
      </c>
      <c r="G5" s="416">
        <f>SUM(G6:G11)</f>
        <v>4.2683252431744541E-2</v>
      </c>
      <c r="H5" s="416">
        <f>SUM(H6:H11)</f>
        <v>1.2833818782128095E-2</v>
      </c>
      <c r="I5" s="431" t="s">
        <v>210</v>
      </c>
      <c r="J5" s="431" t="s">
        <v>210</v>
      </c>
      <c r="K5" s="431" t="s">
        <v>210</v>
      </c>
      <c r="L5" s="431" t="s">
        <v>210</v>
      </c>
      <c r="M5" s="416">
        <f>SUM(M6:M11)</f>
        <v>2.871625570850452E-3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59">
        <f>vkm_GW_PW*SUMIFS(TableVerdeelsleutelVkm[LPG],TableVerdeelsleutelVkm[Voertuigtype],"Lichte voertuigen")*SUMIFS(TableECFTransport[EnergieConsumptieFactor (PJ per km)],TableECFTransport[Index],CONCATENATE($A6,"_LPG_LPG"))</f>
        <v>0</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3.7623266848273183E-5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8.1102125330842652E-5</v>
      </c>
      <c r="E8" s="419">
        <f>vkm_NGW_PW*SUMIFS(TableVerdeelsleutelVkm[LPG],TableVerdeelsleutelVkm[Voertuigtype],"Lichte voertuigen")*SUMIFS(TableECFTransport[EnergieConsumptieFactor (PJ per km)],TableECFTransport[Index],CONCATENATE($A8,"_LPG_LPG"))</f>
        <v>1.3664790909653424E-4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3.7702429366683859E-2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1.2833742333237029E-2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2.5806184161531105E-3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1.2085673334268366E-7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4.9808230650606796E-3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7.6448891066615078E-8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2.910071546973415E-4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10.484478772671073</v>
      </c>
      <c r="C14" s="21"/>
      <c r="D14" s="21">
        <f t="shared" ref="D14:M14" si="0">((D5)*10^9/3600)+D12</f>
        <v>22.528368147456291</v>
      </c>
      <c r="E14" s="21">
        <f t="shared" si="0"/>
        <v>37.957752526815071</v>
      </c>
      <c r="F14" s="21"/>
      <c r="G14" s="21">
        <f t="shared" si="0"/>
        <v>11856.459008817927</v>
      </c>
      <c r="H14" s="21">
        <f t="shared" si="0"/>
        <v>3564.9496617022487</v>
      </c>
      <c r="I14" s="21"/>
      <c r="J14" s="21"/>
      <c r="K14" s="21"/>
      <c r="L14" s="21"/>
      <c r="M14" s="21">
        <f t="shared" si="0"/>
        <v>797.67376968068106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0.21834589788936659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2.2892429315208696</v>
      </c>
      <c r="C18" s="23"/>
      <c r="D18" s="23">
        <f t="shared" ref="D18:M18" si="1">D14*D16</f>
        <v>4.5507303657861709</v>
      </c>
      <c r="E18" s="23">
        <f t="shared" si="1"/>
        <v>8.6164098235870217</v>
      </c>
      <c r="F18" s="23"/>
      <c r="G18" s="23">
        <f t="shared" si="1"/>
        <v>3165.6745553543865</v>
      </c>
      <c r="H18" s="23">
        <f t="shared" si="1"/>
        <v>887.67246576385992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9.7325019055329743E-6</v>
      </c>
      <c r="C50" s="313">
        <f t="shared" ref="C50:P50" si="2">SUM(C51:C52)</f>
        <v>0</v>
      </c>
      <c r="D50" s="313">
        <f t="shared" si="2"/>
        <v>0</v>
      </c>
      <c r="E50" s="313">
        <f t="shared" si="2"/>
        <v>0</v>
      </c>
      <c r="F50" s="313">
        <f t="shared" si="2"/>
        <v>0</v>
      </c>
      <c r="G50" s="313">
        <f t="shared" si="2"/>
        <v>9.1427195022152389E-4</v>
      </c>
      <c r="H50" s="313">
        <f t="shared" si="2"/>
        <v>0</v>
      </c>
      <c r="I50" s="313">
        <f t="shared" si="2"/>
        <v>0</v>
      </c>
      <c r="J50" s="313">
        <f t="shared" si="2"/>
        <v>0</v>
      </c>
      <c r="K50" s="313">
        <f t="shared" si="2"/>
        <v>0</v>
      </c>
      <c r="L50" s="313">
        <f t="shared" si="2"/>
        <v>0</v>
      </c>
      <c r="M50" s="313">
        <f t="shared" si="2"/>
        <v>5.2650176497074929E-5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9.7325019055329743E-6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9.1427195022152389E-4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5.2650176497074929E-5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2.7034727515369372</v>
      </c>
      <c r="C54" s="21">
        <f t="shared" ref="C54:P54" si="3">(C50)*10^9/3600</f>
        <v>0</v>
      </c>
      <c r="D54" s="21">
        <f t="shared" si="3"/>
        <v>0</v>
      </c>
      <c r="E54" s="21">
        <f t="shared" si="3"/>
        <v>0</v>
      </c>
      <c r="F54" s="21">
        <f t="shared" si="3"/>
        <v>0</v>
      </c>
      <c r="G54" s="21">
        <f t="shared" si="3"/>
        <v>253.96443061708996</v>
      </c>
      <c r="H54" s="21">
        <f t="shared" si="3"/>
        <v>0</v>
      </c>
      <c r="I54" s="21">
        <f t="shared" si="3"/>
        <v>0</v>
      </c>
      <c r="J54" s="21">
        <f t="shared" si="3"/>
        <v>0</v>
      </c>
      <c r="K54" s="21">
        <f t="shared" si="3"/>
        <v>0</v>
      </c>
      <c r="L54" s="21">
        <f t="shared" si="3"/>
        <v>0</v>
      </c>
      <c r="M54" s="21">
        <f t="shared" si="3"/>
        <v>14.625049026965257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0.21834589788936659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0.59029218535376904</v>
      </c>
      <c r="C58" s="23">
        <f t="shared" ref="C58:P58" ca="1" si="4">C54*C56</f>
        <v>0</v>
      </c>
      <c r="D58" s="23">
        <f t="shared" si="4"/>
        <v>0</v>
      </c>
      <c r="E58" s="23">
        <f t="shared" si="4"/>
        <v>0</v>
      </c>
      <c r="F58" s="23">
        <f t="shared" si="4"/>
        <v>0</v>
      </c>
      <c r="G58" s="23">
        <f t="shared" si="4"/>
        <v>67.80850297476303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190.08489932209616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190.08489932209616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2021-06-29T15:38:47Z</dcterms:modified>
</cp:coreProperties>
</file>