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C45" i="18" s="1"/>
  <c r="M29" i="18"/>
  <c r="G22" i="18"/>
  <c r="F22" i="18"/>
  <c r="E22" i="18"/>
  <c r="D22" i="18"/>
  <c r="C22"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<sst xmlns="http://schemas.openxmlformats.org/spreadsheetml/2006/main" count="2485" uniqueCount="909">
  <si>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</si>
  <si>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</si>
  <si>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</si>
  <si>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</si>
  <si>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</si>
  <si>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</si>
  <si>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</si>
  <si>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</si>
  <si>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</si>
  <si>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</si>
  <si>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</si>
  <si>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</si>
  <si>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</si>
  <si>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</si>
  <si>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</si>
  <si>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</si>
  <si>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</si>
  <si>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</si>
  <si>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</si>
  <si>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</si>
  <si>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</si>
  <si>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</si>
  <si>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</si>
  <si>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</si>
  <si>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</si>
  <si>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</si>
  <si>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</si>
  <si>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</si>
  <si>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</si>
  <si>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</si>
  <si>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</si>
  <si>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</si>
  <si>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</si>
  <si>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</si>
  <si>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</si>
  <si>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</si>
  <si>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</si>
  <si>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</si>
  <si>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</si>
  <si>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</si>
  <si>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</si>
  <si>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</si>
  <si>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</si>
  <si>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</si>
  <si>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</si>
  <si>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</si>
  <si>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</si>
  <si>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</si>
  <si>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</si>
  <si>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</si>
  <si>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</si>
  <si>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</si>
  <si>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</si>
  <si>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</si>
  <si>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</si>
  <si>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</si>
  <si>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</si>
  <si>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</si>
  <si>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</si>
  <si>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</si>
  <si>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</si>
  <si>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</si>
  <si>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</si>
  <si>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</si>
  <si>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</si>
  <si>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</si>
  <si>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</si>
  <si>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</si>
  <si>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</si>
  <si>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</si>
  <si>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</si>
  <si>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</si>
  <si>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</si>
  <si>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</si>
  <si>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</si>
  <si>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</si>
  <si>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</si>
  <si>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</si>
  <si>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</si>
  <si>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</si>
  <si>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</si>
  <si>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</si>
  <si>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</si>
  <si>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</si>
  <si>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</si>
  <si>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</si>
  <si>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</si>
  <si>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</si>
  <si>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</si>
  <si>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</si>
  <si>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</si>
  <si>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</si>
  <si>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</si>
  <si>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</si>
  <si>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</si>
  <si>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</si>
  <si>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</si>
  <si>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</si>
  <si>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</si>
  <si>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</si>
  <si>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</si>
  <si>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</si>
  <si>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</si>
  <si>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</si>
  <si>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</si>
  <si>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</si>
  <si>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</si>
  <si>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</si>
  <si>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</si>
  <si>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</si>
  <si>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</si>
  <si>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</si>
  <si>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</si>
  <si>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</si>
  <si>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</si>
  <si>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</si>
  <si>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</si>
  <si>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</si>
  <si>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</si>
  <si>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</si>
  <si>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</si>
  <si>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</si>
  <si>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</si>
  <si>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</si>
  <si>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</si>
  <si>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</si>
  <si>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</si>
  <si>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</si>
  <si>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</si>
  <si>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</si>
  <si>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</si>
  <si>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</si>
  <si>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</si>
  <si>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</si>
  <si>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</si>
  <si>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</si>
  <si>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</si>
  <si>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</si>
  <si>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</si>
  <si>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</si>
  <si>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</si>
  <si>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</si>
  <si>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</si>
  <si>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</si>
  <si>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</si>
  <si>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</si>
  <si>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</si>
  <si>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</si>
  <si>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</si>
  <si>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</si>
  <si>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</si>
  <si>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</si>
  <si>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</si>
  <si>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</si>
  <si>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</si>
  <si>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</si>
  <si>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</si>
  <si>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</si>
  <si>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</si>
  <si>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</si>
  <si>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</si>
  <si>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</si>
  <si>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</si>
  <si>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</si>
  <si>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</si>
  <si>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</si>
  <si>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</si>
  <si>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</si>
  <si>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</si>
  <si>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</si>
  <si>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</si>
  <si>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</si>
  <si>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</si>
  <si>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</si>
  <si>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</si>
  <si>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</si>
  <si>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</si>
  <si>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</si>
  <si>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</si>
  <si>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</si>
  <si>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</si>
  <si>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</si>
  <si>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</si>
  <si>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</si>
  <si>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</si>
  <si>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</si>
  <si>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</si>
  <si>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</si>
  <si>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</si>
  <si>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</si>
  <si>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</si>
  <si>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</si>
  <si>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</si>
  <si>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</si>
  <si>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</si>
  <si>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</si>
  <si>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</si>
  <si>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</si>
  <si>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</si>
  <si>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</si>
  <si>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</si>
  <si>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</si>
  <si>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</si>
  <si>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</si>
  <si>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</si>
  <si>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</si>
  <si>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</si>
  <si>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</si>
  <si>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</si>
  <si>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</si>
  <si>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</si>
  <si>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</si>
  <si>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</si>
  <si>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</si>
  <si>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</si>
  <si>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</si>
  <si>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</si>
  <si>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</si>
  <si>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</si>
  <si>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</si>
  <si>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</si>
  <si>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</si>
  <si>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</si>
  <si>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</si>
  <si>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</si>
  <si>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</si>
  <si>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</si>
  <si>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</si>
  <si>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</si>
  <si>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</si>
  <si>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</si>
  <si>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</si>
  <si>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</si>
  <si>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</si>
  <si>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</si>
  <si>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</si>
  <si>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</si>
  <si>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</si>
  <si>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</si>
  <si>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</si>
  <si>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</si>
  <si>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</si>
  <si>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</si>
  <si>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</si>
  <si>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</si>
  <si>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</si>
  <si>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</si>
  <si>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</si>
  <si>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</si>
  <si>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</si>
  <si>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</si>
  <si>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</si>
  <si>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</si>
  <si>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</si>
  <si>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</si>
  <si>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</si>
  <si>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</si>
  <si>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</si>
  <si>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</si>
  <si>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</si>
  <si>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</si>
  <si>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</si>
  <si>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</si>
  <si>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</si>
  <si>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</si>
  <si>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</si>
  <si>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</si>
  <si>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</si>
  <si>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</si>
  <si>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</si>
  <si>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</si>
  <si>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</si>
  <si>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</si>
  <si>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</si>
  <si>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</si>
  <si>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</si>
  <si>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</si>
  <si>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</si>
  <si>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</si>
  <si>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</si>
  <si>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</si>
  <si>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</si>
  <si>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</si>
  <si>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</si>
  <si>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</si>
  <si>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</si>
  <si>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</si>
  <si>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</si>
  <si>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</si>
  <si>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</si>
  <si>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</si>
  <si>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</si>
  <si>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</si>
  <si>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</si>
  <si>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</si>
  <si>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</si>
  <si>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</si>
  <si>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</si>
  <si>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</si>
  <si>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</si>
  <si>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</si>
  <si>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</si>
  <si>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</si>
  <si>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</si>
  <si>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</si>
  <si>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</si>
  <si>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</si>
  <si>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</si>
  <si>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</si>
  <si>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</si>
  <si>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</si>
  <si>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</si>
  <si>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</si>
  <si>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</si>
  <si>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</si>
  <si>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</si>
  <si>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</si>
  <si>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</si>
  <si>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</si>
  <si>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</si>
  <si>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</si>
  <si>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</si>
  <si>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</si>
  <si>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</si>
  <si>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</si>
  <si>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</si>
  <si>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</si>
  <si>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</si>
  <si>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</si>
  <si>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</si>
  <si>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</si>
  <si>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</si>
  <si>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</si>
  <si>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</si>
  <si>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</si>
  <si>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</si>
  <si>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</si>
  <si>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</si>
  <si>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</si>
  <si>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</si>
  <si>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</si>
  <si>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</si>
  <si>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</si>
  <si>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</si>
  <si>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</si>
  <si>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</si>
  <si>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</si>
  <si>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</si>
  <si>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</si>
  <si>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</si>
  <si>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</si>
  <si>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</si>
  <si>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</si>
  <si>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</si>
  <si>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</si>
  <si>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</si>
  <si>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</si>
  <si>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</si>
  <si>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</si>
  <si>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</si>
  <si>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</si>
  <si>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</si>
  <si>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</si>
  <si>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</si>
  <si>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</si>
  <si>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</si>
  <si>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</si>
  <si>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</si>
  <si>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</si>
  <si>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</si>
  <si>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</si>
  <si>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</si>
  <si>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</si>
  <si>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</si>
  <si>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</si>
  <si>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</si>
  <si>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</si>
  <si>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</si>
  <si>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</si>
  <si>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</si>
  <si>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</si>
  <si>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</si>
  <si>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</si>
  <si>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</si>
  <si>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</si>
  <si>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</si>
  <si>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</si>
  <si>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</si>
  <si>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</si>
  <si>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</si>
  <si>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</si>
  <si>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</si>
  <si>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</si>
  <si>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</si>
  <si>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</si>
  <si>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</si>
  <si>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</si>
  <si>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</si>
  <si>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</si>
  <si>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</si>
  <si>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</si>
  <si>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</si>
  <si>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</si>
  <si>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</si>
  <si>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</si>
  <si>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</si>
  <si>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</si>
  <si>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</si>
  <si>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</si>
  <si>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</si>
  <si>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</si>
  <si>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</si>
  <si>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</si>
  <si>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</si>
  <si>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</si>
  <si>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</si>
  <si>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</si>
  <si>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</si>
  <si>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</si>
  <si>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</si>
  <si>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</si>
  <si>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</si>
  <si>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</si>
  <si>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</si>
  <si>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</si>
  <si>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</si>
  <si>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</si>
  <si>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</si>
  <si>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</si>
  <si>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</si>
  <si>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</si>
  <si>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</si>
  <si>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</si>
  <si>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</si>
  <si>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</si>
  <si>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</si>
  <si>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</si>
  <si>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</si>
  <si>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</si>
  <si>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</si>
  <si>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</si>
  <si>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</si>
  <si>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</si>
  <si>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</si>
  <si>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</si>
  <si>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</si>
  <si>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</si>
  <si>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</si>
  <si>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</si>
  <si>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</si>
  <si>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</si>
  <si>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</si>
  <si>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</si>
  <si>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</si>
  <si>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</si>
  <si>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</si>
  <si>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</si>
  <si>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</si>
  <si>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</si>
  <si>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</si>
  <si>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</si>
  <si>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</si>
  <si>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</si>
  <si>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</si>
  <si>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</si>
  <si>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</si>
  <si>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</si>
  <si>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</si>
  <si>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</si>
  <si>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</si>
  <si>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</si>
  <si>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</si>
  <si>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</si>
  <si>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</si>
  <si>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</si>
  <si>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</si>
  <si>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</si>
  <si>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</si>
  <si>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</si>
  <si>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</si>
  <si>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</si>
  <si>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</si>
  <si>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</si>
  <si>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</si>
  <si>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</si>
  <si>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</si>
  <si>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</si>
  <si>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</si>
  <si>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</si>
  <si>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</si>
  <si>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</si>
  <si>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</si>
  <si>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</si>
  <si>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</si>
  <si>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</si>
  <si>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</si>
  <si>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</si>
  <si>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</si>
  <si>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</si>
  <si>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</si>
  <si>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</si>
  <si>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</si>
  <si>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</si>
  <si>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</si>
  <si>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</si>
  <si>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</si>
  <si>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</si>
  <si>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</si>
  <si>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</si>
  <si>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</si>
  <si>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</si>
  <si>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</si>
  <si>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</si>
  <si>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</si>
  <si>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</si>
  <si>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</si>
  <si>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</si>
  <si>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</si>
  <si>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</si>
  <si>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</si>
  <si>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</si>
  <si>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</si>
  <si>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</si>
  <si>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</si>
  <si>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</si>
  <si>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</si>
  <si>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</si>
  <si>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</si>
  <si>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</si>
  <si>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</si>
  <si>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</si>
  <si>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</si>
  <si>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</si>
  <si>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</si>
  <si>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</si>
  <si>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</si>
  <si>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</si>
  <si>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</si>
  <si>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</si>
  <si>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</si>
  <si>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</si>
  <si>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</si>
  <si>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</si>
  <si>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</si>
  <si>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</si>
  <si>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</si>
  <si>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</si>
  <si>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</si>
  <si>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</si>
  <si>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</si>
  <si>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</si>
  <si>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</si>
  <si>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</si>
  <si>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</si>
  <si>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</si>
  <si>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</si>
  <si>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</si>
  <si>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</si>
  <si>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</si>
  <si>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</si>
  <si>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</si>
  <si>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</si>
  <si>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</si>
  <si>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</si>
  <si>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</si>
  <si>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</si>
  <si>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</si>
  <si>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</si>
  <si>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</si>
  <si>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</si>
  <si>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</si>
  <si>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</si>
  <si>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</si>
  <si>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</si>
  <si>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</si>
  <si>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</si>
  <si>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</si>
  <si>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</si>
  <si>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</si>
  <si>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</si>
  <si>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</si>
  <si>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</si>
  <si>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</si>
  <si>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</si>
  <si>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</si>
  <si>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</si>
  <si>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</si>
  <si>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</si>
  <si>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</si>
  <si>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</si>
  <si>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</si>
  <si>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</si>
  <si>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</si>
  <si>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</si>
  <si>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</si>
  <si>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</si>
  <si>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</si>
  <si>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</si>
  <si>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</si>
  <si>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</si>
  <si>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</si>
  <si>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</si>
  <si>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</si>
  <si>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</si>
  <si>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</si>
  <si>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</si>
  <si>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</si>
  <si>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</si>
  <si>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</si>
  <si>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</si>
  <si>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</si>
  <si>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</si>
  <si>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</si>
  <si>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</si>
  <si>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</si>
  <si>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</si>
  <si>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</si>
  <si>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</si>
  <si>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</si>
  <si>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</si>
  <si>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</si>
  <si>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</si>
  <si>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</si>
  <si>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</si>
  <si>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</si>
  <si>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</si>
  <si>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</si>
  <si>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</si>
  <si>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</si>
  <si>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</si>
  <si>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</si>
  <si>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</si>
  <si>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</si>
  <si>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</si>
  <si>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</si>
  <si>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</si>
  <si>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</si>
  <si>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</si>
  <si>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</si>
  <si>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</si>
  <si>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</si>
  <si>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</si>
  <si>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</si>
  <si>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</si>
  <si>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</si>
  <si>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</si>
  <si>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</si>
  <si>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</si>
  <si>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</si>
  <si>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</si>
  <si>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</si>
  <si>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</si>
  <si>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</si>
  <si>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</si>
  <si>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</si>
  <si>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</si>
  <si>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</si>
  <si>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</si>
  <si>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</si>
  <si>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</si>
  <si>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</si>
  <si>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</si>
  <si>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</si>
  <si>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</si>
  <si>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</si>
  <si>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</si>
  <si>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</si>
  <si>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</si>
  <si>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</si>
  <si>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</si>
  <si>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</si>
  <si>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</si>
  <si>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</si>
  <si>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</si>
  <si>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</si>
  <si>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</si>
  <si>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</si>
  <si>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</si>
  <si>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</si>
  <si>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</si>
  <si>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</si>
  <si>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</si>
  <si>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</si>
  <si>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</si>
  <si>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</si>
  <si>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</si>
  <si>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</si>
  <si>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</si>
  <si>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</si>
  <si>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</si>
  <si>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</si>
  <si>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</si>
  <si>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</si>
  <si>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</si>
  <si>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</si>
  <si>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</si>
  <si>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</si>
  <si>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</si>
  <si>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</si>
  <si>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</si>
  <si>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</si>
  <si>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</si>
  <si>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</si>
  <si>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</si>
  <si>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</si>
  <si>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</si>
  <si>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</si>
  <si>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</si>
  <si>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</si>
  <si>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</si>
  <si>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</si>
  <si>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</si>
  <si>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</si>
  <si>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</si>
  <si>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</si>
  <si>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</si>
  <si>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</si>
  <si>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</si>
  <si>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</si>
  <si>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</si>
  <si>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</si>
  <si>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</si>
  <si>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</si>
  <si>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</si>
  <si>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</si>
  <si>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</si>
  <si>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</si>
  <si>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</si>
  <si>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</si>
  <si>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</si>
  <si>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</si>
  <si>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</si>
  <si>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</si>
  <si>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</si>
  <si>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</si>
  <si>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</si>
  <si>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</si>
  <si>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</si>
  <si>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</si>
  <si>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</si>
  <si>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</si>
  <si>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</si>
  <si>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</si>
  <si>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</si>
  <si>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</si>
  <si>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</si>
  <si>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</si>
  <si>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</si>
  <si>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</si>
  <si>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</si>
  <si>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</si>
  <si>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</si>
  <si>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</si>
  <si>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</si>
  <si>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</si>
  <si>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</si>
  <si>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</si>
  <si>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</si>
  <si>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</si>
  <si>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</si>
  <si>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</si>
  <si>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</si>
  <si>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</si>
  <si>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</si>
  <si>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</si>
  <si>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</si>
  <si>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</si>
  <si>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</si>
  <si>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</si>
  <si>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</si>
  <si>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</si>
  <si>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</si>
  <si>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</si>
  <si>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</si>
  <si>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</si>
  <si>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</si>
  <si>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</si>
  <si>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</si>
  <si>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</si>
  <si>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</si>
  <si>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</si>
  <si>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</si>
  <si>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</si>
  <si>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</si>
  <si>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</si>
  <si>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</si>
  <si>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</si>
  <si>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</si>
  <si>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</si>
  <si>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</si>
  <si>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</si>
  <si>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</si>
  <si>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</si>
  <si>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</si>
  <si>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</si>
  <si>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</si>
  <si>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</si>
  <si>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</si>
  <si>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</si>
  <si>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</si>
  <si>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</si>
  <si>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</si>
  <si>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</si>
  <si>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</si>
  <si>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</si>
  <si>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</si>
  <si>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</si>
  <si>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</si>
  <si>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</si>
  <si>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</si>
  <si>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</si>
  <si>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</si>
  <si>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</si>
  <si>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</si>
  <si>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</si>
  <si>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</si>
  <si>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</si>
  <si>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</si>
  <si>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</si>
  <si>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</si>
  <si>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</si>
  <si>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</si>
  <si>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</si>
  <si>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</si>
  <si>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</si>
  <si>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</si>
  <si>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</si>
  <si>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</si>
  <si>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</si>
  <si>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</si>
  <si>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</si>
  <si>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</si>
  <si>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</si>
  <si>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</si>
  <si>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</si>
  <si>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</si>
  <si>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</si>
  <si>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</si>
  <si>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</si>
  <si>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</si>
  <si>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</si>
  <si>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</si>
  <si>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</si>
  <si>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</si>
  <si>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</si>
  <si>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</si>
  <si>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</si>
  <si>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</si>
  <si>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</si>
  <si>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</si>
  <si>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</si>
  <si>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</si>
  <si>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</si>
  <si>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</si>
  <si>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</si>
  <si>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</si>
  <si>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</si>
  <si>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</si>
  <si>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</si>
  <si>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</si>
  <si>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</si>
  <si>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</si>
  <si>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</si>
  <si>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</si>
  <si>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</si>
  <si>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</si>
  <si>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</si>
  <si>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</si>
  <si>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</si>
  <si>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</si>
  <si>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</si>
  <si>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</si>
  <si>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</si>
  <si>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</si>
  <si>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</si>
  <si>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</si>
  <si>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</si>
  <si>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</si>
  <si>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</si>
  <si>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</si>
  <si>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</si>
  <si>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</si>
  <si>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</si>
  <si>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</si>
  <si>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</si>
  <si>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</si>
  <si>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</si>
  <si>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</si>
  <si>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</si>
  <si>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</si>
  <si>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</si>
  <si>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</si>
  <si>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</si>
  <si>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</si>
  <si>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</si>
  <si>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</si>
  <si>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</si>
  <si>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</si>
  <si>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23094</t>
  </si>
  <si>
    <t>ZAVENTEM</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</si>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</sst>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287345.31125150638</c:v>
                </c:pt>
                <c:pt idx="1">
                  <c:v>342567.91531739279</c:v>
                </c:pt>
                <c:pt idx="2">
                  <c:v>2813.3220000000001</c:v>
                </c:pt>
                <c:pt idx="3">
                  <c:v>2839.8945330551173</c:v>
                </c:pt>
                <c:pt idx="4">
                  <c:v>78831.717254822157</c:v>
                </c:pt>
                <c:pt idx="5">
                  <c:v>547965.00878237211</c:v>
                </c:pt>
                <c:pt idx="6">
                  <c:v>9485.9513989842198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287345.31125150638</c:v>
                </c:pt>
                <c:pt idx="1">
                  <c:v>342567.91531739279</c:v>
                </c:pt>
                <c:pt idx="2">
                  <c:v>2813.3220000000001</c:v>
                </c:pt>
                <c:pt idx="3">
                  <c:v>2839.8945330551173</c:v>
                </c:pt>
                <c:pt idx="4">
                  <c:v>78831.717254822157</c:v>
                </c:pt>
                <c:pt idx="5">
                  <c:v>547965.00878237211</c:v>
                </c:pt>
                <c:pt idx="6">
                  <c:v>9485.9513989842198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58042.845602847854</c:v>
                </c:pt>
                <c:pt idx="2">
                  <c:v>73251.921045793759</c:v>
                </c:pt>
                <c:pt idx="3">
                  <c:v>610.17177261479708</c:v>
                </c:pt>
                <c:pt idx="4">
                  <c:v>728.28902946471646</c:v>
                </c:pt>
                <c:pt idx="5">
                  <c:v>16735.338619228245</c:v>
                </c:pt>
                <c:pt idx="6">
                  <c:v>137175.2692322213</c:v>
                </c:pt>
                <c:pt idx="7">
                  <c:v>2391.4746643955637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58042.845602847854</c:v>
                </c:pt>
                <c:pt idx="2">
                  <c:v>73251.921045793759</c:v>
                </c:pt>
                <c:pt idx="3">
                  <c:v>610.17177261479708</c:v>
                </c:pt>
                <c:pt idx="4">
                  <c:v>728.28902946471646</c:v>
                </c:pt>
                <c:pt idx="5">
                  <c:v>16735.338619228245</c:v>
                </c:pt>
                <c:pt idx="6">
                  <c:v>137175.2692322213</c:v>
                </c:pt>
                <c:pt idx="7">
                  <c:v>2391.4746643955637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23094</v>
      </c>
      <c r="B6" s="384"/>
      <c r="C6" s="385"/>
    </row>
    <row r="7" spans="1:7" s="382" customFormat="1" ht="15.75" customHeight="1">
      <c r="A7" s="386" t="str">
        <f>txtMunicipality</f>
        <v>ZAVENTEM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191924.03713231592</v>
      </c>
      <c r="D10" s="973">
        <f ca="1">tertiair!C16</f>
        <v>1144.2857142857142</v>
      </c>
      <c r="E10" s="973">
        <f ca="1">tertiair!D16</f>
        <v>116004.52936278807</v>
      </c>
      <c r="F10" s="973">
        <f>tertiair!E16</f>
        <v>1756.7167263562897</v>
      </c>
      <c r="G10" s="973">
        <f ca="1">tertiair!F16</f>
        <v>30459.498020553066</v>
      </c>
      <c r="H10" s="973">
        <f>tertiair!G16</f>
        <v>0</v>
      </c>
      <c r="I10" s="973">
        <f>tertiair!H16</f>
        <v>0</v>
      </c>
      <c r="J10" s="973">
        <f>tertiair!I16</f>
        <v>0</v>
      </c>
      <c r="K10" s="973">
        <f>tertiair!J16</f>
        <v>9.6139870968446839E-2</v>
      </c>
      <c r="L10" s="973">
        <f>tertiair!K16</f>
        <v>0</v>
      </c>
      <c r="M10" s="973">
        <f ca="1">tertiair!L16</f>
        <v>0</v>
      </c>
      <c r="N10" s="973">
        <f>tertiair!M16</f>
        <v>0</v>
      </c>
      <c r="O10" s="973">
        <f ca="1">tertiair!N16</f>
        <v>4014.2442212226597</v>
      </c>
      <c r="P10" s="973">
        <f>tertiair!O16</f>
        <v>1.5633333333333335</v>
      </c>
      <c r="Q10" s="974">
        <f>tertiair!P16</f>
        <v>76.266666666666666</v>
      </c>
      <c r="R10" s="668">
        <f ca="1">SUM(C10:Q10)</f>
        <v>345381.23731739272</v>
      </c>
      <c r="S10" s="67"/>
    </row>
    <row r="11" spans="1:19" s="441" customFormat="1">
      <c r="A11" s="777" t="s">
        <v>219</v>
      </c>
      <c r="B11" s="782"/>
      <c r="C11" s="973">
        <f>huishoudens!B8</f>
        <v>49039.791431493955</v>
      </c>
      <c r="D11" s="973">
        <f>huishoudens!C8</f>
        <v>0</v>
      </c>
      <c r="E11" s="973">
        <f>huishoudens!D8</f>
        <v>167193.13590494904</v>
      </c>
      <c r="F11" s="973">
        <f>huishoudens!E8</f>
        <v>1938.0616699037246</v>
      </c>
      <c r="G11" s="973">
        <f>huishoudens!F8</f>
        <v>49101.795317047392</v>
      </c>
      <c r="H11" s="973">
        <f>huishoudens!G8</f>
        <v>0</v>
      </c>
      <c r="I11" s="973">
        <f>huishoudens!H8</f>
        <v>0</v>
      </c>
      <c r="J11" s="973">
        <f>huishoudens!I8</f>
        <v>0</v>
      </c>
      <c r="K11" s="973">
        <f>huishoudens!J8</f>
        <v>236.27233027616671</v>
      </c>
      <c r="L11" s="973">
        <f>huishoudens!K8</f>
        <v>0</v>
      </c>
      <c r="M11" s="973">
        <f>huishoudens!L8</f>
        <v>0</v>
      </c>
      <c r="N11" s="973">
        <f>huishoudens!M8</f>
        <v>0</v>
      </c>
      <c r="O11" s="973">
        <f>huishoudens!N8</f>
        <v>18969.151264502845</v>
      </c>
      <c r="P11" s="973">
        <f>huishoudens!O8</f>
        <v>123.50333333333334</v>
      </c>
      <c r="Q11" s="974">
        <f>huishoudens!P8</f>
        <v>743.6</v>
      </c>
      <c r="R11" s="668">
        <f>SUM(C11:Q11)</f>
        <v>287345.31125150638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41704.449682748324</v>
      </c>
      <c r="D13" s="973">
        <f>industrie!C18</f>
        <v>0</v>
      </c>
      <c r="E13" s="973">
        <f>industrie!D18</f>
        <v>28522.485868739172</v>
      </c>
      <c r="F13" s="973">
        <f>industrie!E18</f>
        <v>1303.0033249448277</v>
      </c>
      <c r="G13" s="973">
        <f>industrie!F18</f>
        <v>6096.2420365439448</v>
      </c>
      <c r="H13" s="973">
        <f>industrie!G18</f>
        <v>0</v>
      </c>
      <c r="I13" s="973">
        <f>industrie!H18</f>
        <v>0</v>
      </c>
      <c r="J13" s="973">
        <f>industrie!I18</f>
        <v>0</v>
      </c>
      <c r="K13" s="973">
        <f>industrie!J18</f>
        <v>14.64080868077416</v>
      </c>
      <c r="L13" s="973">
        <f>industrie!K18</f>
        <v>0</v>
      </c>
      <c r="M13" s="973">
        <f>industrie!L18</f>
        <v>0</v>
      </c>
      <c r="N13" s="973">
        <f>industrie!M18</f>
        <v>0</v>
      </c>
      <c r="O13" s="973">
        <f>industrie!N18</f>
        <v>1190.8955331651132</v>
      </c>
      <c r="P13" s="973">
        <f>industrie!O18</f>
        <v>0</v>
      </c>
      <c r="Q13" s="974">
        <f>industrie!P18</f>
        <v>0</v>
      </c>
      <c r="R13" s="668">
        <f>SUM(C13:Q13)</f>
        <v>78831.717254822157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282668.27824655815</v>
      </c>
      <c r="D16" s="700">
        <f t="shared" ref="D16:R16" ca="1" si="0">SUM(D9:D15)</f>
        <v>1144.2857142857142</v>
      </c>
      <c r="E16" s="700">
        <f t="shared" ca="1" si="0"/>
        <v>311720.15113647631</v>
      </c>
      <c r="F16" s="700">
        <f t="shared" si="0"/>
        <v>4997.7817212048421</v>
      </c>
      <c r="G16" s="700">
        <f t="shared" ca="1" si="0"/>
        <v>85657.535374144398</v>
      </c>
      <c r="H16" s="700">
        <f t="shared" si="0"/>
        <v>0</v>
      </c>
      <c r="I16" s="700">
        <f t="shared" si="0"/>
        <v>0</v>
      </c>
      <c r="J16" s="700">
        <f t="shared" si="0"/>
        <v>0</v>
      </c>
      <c r="K16" s="700">
        <f t="shared" si="0"/>
        <v>251.00927882790933</v>
      </c>
      <c r="L16" s="700">
        <f t="shared" si="0"/>
        <v>0</v>
      </c>
      <c r="M16" s="700">
        <f t="shared" ca="1" si="0"/>
        <v>0</v>
      </c>
      <c r="N16" s="700">
        <f t="shared" si="0"/>
        <v>0</v>
      </c>
      <c r="O16" s="700">
        <f t="shared" ca="1" si="0"/>
        <v>24174.291018890617</v>
      </c>
      <c r="P16" s="700">
        <f t="shared" si="0"/>
        <v>125.06666666666668</v>
      </c>
      <c r="Q16" s="700">
        <f t="shared" si="0"/>
        <v>819.86666666666667</v>
      </c>
      <c r="R16" s="700">
        <f t="shared" ca="1" si="0"/>
        <v>711558.26582372119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94.528851203486681</v>
      </c>
      <c r="D19" s="973">
        <f>transport!C54</f>
        <v>0</v>
      </c>
      <c r="E19" s="973">
        <f>transport!D54</f>
        <v>0</v>
      </c>
      <c r="F19" s="973">
        <f>transport!E54</f>
        <v>0</v>
      </c>
      <c r="G19" s="973">
        <f>transport!F54</f>
        <v>0</v>
      </c>
      <c r="H19" s="973">
        <f>transport!G54</f>
        <v>8880.0472870063295</v>
      </c>
      <c r="I19" s="973">
        <f>transport!H54</f>
        <v>0</v>
      </c>
      <c r="J19" s="973">
        <f>transport!I54</f>
        <v>0</v>
      </c>
      <c r="K19" s="973">
        <f>transport!J54</f>
        <v>0</v>
      </c>
      <c r="L19" s="973">
        <f>transport!K54</f>
        <v>0</v>
      </c>
      <c r="M19" s="973">
        <f>transport!L54</f>
        <v>0</v>
      </c>
      <c r="N19" s="973">
        <f>transport!M54</f>
        <v>511.3752607744039</v>
      </c>
      <c r="O19" s="973">
        <f>transport!N54</f>
        <v>0</v>
      </c>
      <c r="P19" s="973">
        <f>transport!O54</f>
        <v>0</v>
      </c>
      <c r="Q19" s="974">
        <f>transport!P54</f>
        <v>0</v>
      </c>
      <c r="R19" s="668">
        <f>SUM(C19:Q19)</f>
        <v>9485.9513989842198</v>
      </c>
      <c r="S19" s="67"/>
    </row>
    <row r="20" spans="1:19" s="441" customFormat="1">
      <c r="A20" s="777" t="s">
        <v>301</v>
      </c>
      <c r="B20" s="782"/>
      <c r="C20" s="973">
        <f>transport!B14</f>
        <v>381.12912375131503</v>
      </c>
      <c r="D20" s="973">
        <f>transport!C14</f>
        <v>0</v>
      </c>
      <c r="E20" s="973">
        <f>transport!D14</f>
        <v>554.67872933342915</v>
      </c>
      <c r="F20" s="973">
        <f>transport!E14</f>
        <v>1123.3017449694835</v>
      </c>
      <c r="G20" s="973">
        <f>transport!F14</f>
        <v>0</v>
      </c>
      <c r="H20" s="973">
        <f>transport!G14</f>
        <v>426094.35525160166</v>
      </c>
      <c r="I20" s="973">
        <f>transport!H14</f>
        <v>92202.329278605452</v>
      </c>
      <c r="J20" s="973">
        <f>transport!I14</f>
        <v>0</v>
      </c>
      <c r="K20" s="973">
        <f>transport!J14</f>
        <v>0</v>
      </c>
      <c r="L20" s="973">
        <f>transport!K14</f>
        <v>0</v>
      </c>
      <c r="M20" s="973">
        <f>transport!L14</f>
        <v>0</v>
      </c>
      <c r="N20" s="973">
        <f>transport!M14</f>
        <v>27609.214654110743</v>
      </c>
      <c r="O20" s="973">
        <f>transport!N14</f>
        <v>0</v>
      </c>
      <c r="P20" s="973">
        <f>transport!O14</f>
        <v>0</v>
      </c>
      <c r="Q20" s="974">
        <f>transport!P14</f>
        <v>0</v>
      </c>
      <c r="R20" s="668">
        <f>SUM(C20:Q20)</f>
        <v>547965.00878237211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475.65797495480172</v>
      </c>
      <c r="D22" s="780">
        <f t="shared" ref="D22:R22" si="1">SUM(D18:D21)</f>
        <v>0</v>
      </c>
      <c r="E22" s="780">
        <f t="shared" si="1"/>
        <v>554.67872933342915</v>
      </c>
      <c r="F22" s="780">
        <f t="shared" si="1"/>
        <v>1123.3017449694835</v>
      </c>
      <c r="G22" s="780">
        <f t="shared" si="1"/>
        <v>0</v>
      </c>
      <c r="H22" s="780">
        <f t="shared" si="1"/>
        <v>434974.402538608</v>
      </c>
      <c r="I22" s="780">
        <f t="shared" si="1"/>
        <v>92202.329278605452</v>
      </c>
      <c r="J22" s="780">
        <f t="shared" si="1"/>
        <v>0</v>
      </c>
      <c r="K22" s="780">
        <f t="shared" si="1"/>
        <v>0</v>
      </c>
      <c r="L22" s="780">
        <f t="shared" si="1"/>
        <v>0</v>
      </c>
      <c r="M22" s="780">
        <f t="shared" si="1"/>
        <v>0</v>
      </c>
      <c r="N22" s="780">
        <f t="shared" si="1"/>
        <v>28120.589914885146</v>
      </c>
      <c r="O22" s="780">
        <f t="shared" si="1"/>
        <v>0</v>
      </c>
      <c r="P22" s="780">
        <f t="shared" si="1"/>
        <v>0</v>
      </c>
      <c r="Q22" s="780">
        <f t="shared" si="1"/>
        <v>0</v>
      </c>
      <c r="R22" s="780">
        <f t="shared" si="1"/>
        <v>557450.96018135629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501.34754164650082</v>
      </c>
      <c r="D24" s="973">
        <f>+landbouw!C8</f>
        <v>0</v>
      </c>
      <c r="E24" s="973">
        <f>+landbouw!D8</f>
        <v>162.58959654447639</v>
      </c>
      <c r="F24" s="973">
        <f>+landbouw!E8</f>
        <v>14.736135541126879</v>
      </c>
      <c r="G24" s="973">
        <f>+landbouw!F8</f>
        <v>2088.5867671001361</v>
      </c>
      <c r="H24" s="973">
        <f>+landbouw!G8</f>
        <v>0</v>
      </c>
      <c r="I24" s="973">
        <f>+landbouw!H8</f>
        <v>0</v>
      </c>
      <c r="J24" s="973">
        <f>+landbouw!I8</f>
        <v>0</v>
      </c>
      <c r="K24" s="973">
        <f>+landbouw!J8</f>
        <v>72.634492222877483</v>
      </c>
      <c r="L24" s="973">
        <f>+landbouw!K8</f>
        <v>0</v>
      </c>
      <c r="M24" s="973">
        <f>+landbouw!L8</f>
        <v>0</v>
      </c>
      <c r="N24" s="973">
        <f>+landbouw!M8</f>
        <v>0</v>
      </c>
      <c r="O24" s="973">
        <f>+landbouw!N8</f>
        <v>0</v>
      </c>
      <c r="P24" s="973">
        <f>+landbouw!O8</f>
        <v>0</v>
      </c>
      <c r="Q24" s="974">
        <f>+landbouw!P8</f>
        <v>0</v>
      </c>
      <c r="R24" s="668">
        <f>SUM(C24:Q24)</f>
        <v>2839.8945330551173</v>
      </c>
      <c r="S24" s="67"/>
    </row>
    <row r="25" spans="1:19" s="441" customFormat="1" ht="15" thickBot="1">
      <c r="A25" s="799" t="s">
        <v>808</v>
      </c>
      <c r="B25" s="976"/>
      <c r="C25" s="977">
        <f>IF(Onbekend_ele_kWh="---",0,Onbekend_ele_kWh)/1000+IF(REST_rest_ele_kWh="---",0,REST_rest_ele_kWh)/1000</f>
        <v>7792.9097484023305</v>
      </c>
      <c r="D25" s="977"/>
      <c r="E25" s="977">
        <f>IF(onbekend_gas_kWh="---",0,onbekend_gas_kWh)/1000+IF(REST_rest_gas_kWh="---",0,REST_rest_gas_kWh)/1000</f>
        <v>15127.261160771299</v>
      </c>
      <c r="F25" s="977"/>
      <c r="G25" s="977"/>
      <c r="H25" s="977"/>
      <c r="I25" s="977"/>
      <c r="J25" s="977"/>
      <c r="K25" s="977"/>
      <c r="L25" s="977"/>
      <c r="M25" s="977"/>
      <c r="N25" s="977"/>
      <c r="O25" s="977"/>
      <c r="P25" s="977"/>
      <c r="Q25" s="978"/>
      <c r="R25" s="668">
        <f>SUM(C25:Q25)</f>
        <v>22920.17090917363</v>
      </c>
      <c r="S25" s="67"/>
    </row>
    <row r="26" spans="1:19" s="441" customFormat="1" ht="15.75" thickBot="1">
      <c r="A26" s="673" t="s">
        <v>809</v>
      </c>
      <c r="B26" s="785"/>
      <c r="C26" s="780">
        <f>SUM(C24:C25)</f>
        <v>8294.2572900488321</v>
      </c>
      <c r="D26" s="780">
        <f t="shared" ref="D26:R26" si="2">SUM(D24:D25)</f>
        <v>0</v>
      </c>
      <c r="E26" s="780">
        <f t="shared" si="2"/>
        <v>15289.850757315775</v>
      </c>
      <c r="F26" s="780">
        <f t="shared" si="2"/>
        <v>14.736135541126879</v>
      </c>
      <c r="G26" s="780">
        <f t="shared" si="2"/>
        <v>2088.5867671001361</v>
      </c>
      <c r="H26" s="780">
        <f t="shared" si="2"/>
        <v>0</v>
      </c>
      <c r="I26" s="780">
        <f t="shared" si="2"/>
        <v>0</v>
      </c>
      <c r="J26" s="780">
        <f t="shared" si="2"/>
        <v>0</v>
      </c>
      <c r="K26" s="780">
        <f t="shared" si="2"/>
        <v>72.634492222877483</v>
      </c>
      <c r="L26" s="780">
        <f t="shared" si="2"/>
        <v>0</v>
      </c>
      <c r="M26" s="780">
        <f t="shared" si="2"/>
        <v>0</v>
      </c>
      <c r="N26" s="780">
        <f t="shared" si="2"/>
        <v>0</v>
      </c>
      <c r="O26" s="780">
        <f t="shared" si="2"/>
        <v>0</v>
      </c>
      <c r="P26" s="780">
        <f t="shared" si="2"/>
        <v>0</v>
      </c>
      <c r="Q26" s="780">
        <f t="shared" si="2"/>
        <v>0</v>
      </c>
      <c r="R26" s="780">
        <f t="shared" si="2"/>
        <v>25760.065442228748</v>
      </c>
      <c r="S26" s="67"/>
    </row>
    <row r="27" spans="1:19" s="441" customFormat="1" ht="17.25" thickTop="1" thickBot="1">
      <c r="A27" s="674" t="s">
        <v>115</v>
      </c>
      <c r="B27" s="773"/>
      <c r="C27" s="675">
        <f ca="1">C22+C16+C26</f>
        <v>291438.19351156178</v>
      </c>
      <c r="D27" s="675">
        <f t="shared" ref="D27:R27" ca="1" si="3">D22+D16+D26</f>
        <v>1144.2857142857142</v>
      </c>
      <c r="E27" s="675">
        <f t="shared" ca="1" si="3"/>
        <v>327564.68062312552</v>
      </c>
      <c r="F27" s="675">
        <f t="shared" si="3"/>
        <v>6135.8196017154523</v>
      </c>
      <c r="G27" s="675">
        <f t="shared" ca="1" si="3"/>
        <v>87746.12214124453</v>
      </c>
      <c r="H27" s="675">
        <f t="shared" si="3"/>
        <v>434974.402538608</v>
      </c>
      <c r="I27" s="675">
        <f t="shared" si="3"/>
        <v>92202.329278605452</v>
      </c>
      <c r="J27" s="675">
        <f t="shared" si="3"/>
        <v>0</v>
      </c>
      <c r="K27" s="675">
        <f t="shared" si="3"/>
        <v>323.64377105078682</v>
      </c>
      <c r="L27" s="675">
        <f t="shared" si="3"/>
        <v>0</v>
      </c>
      <c r="M27" s="675">
        <f t="shared" ca="1" si="3"/>
        <v>0</v>
      </c>
      <c r="N27" s="675">
        <f t="shared" si="3"/>
        <v>28120.589914885146</v>
      </c>
      <c r="O27" s="675">
        <f t="shared" ca="1" si="3"/>
        <v>24174.291018890617</v>
      </c>
      <c r="P27" s="675">
        <f t="shared" si="3"/>
        <v>125.06666666666668</v>
      </c>
      <c r="Q27" s="675">
        <f t="shared" si="3"/>
        <v>819.86666666666667</v>
      </c>
      <c r="R27" s="675">
        <f t="shared" ca="1" si="3"/>
        <v>1294769.2914473061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41625.747050786704</v>
      </c>
      <c r="D40" s="973">
        <f ca="1">tertiair!C20</f>
        <v>271.93613445378156</v>
      </c>
      <c r="E40" s="973">
        <f ca="1">tertiair!D20</f>
        <v>23432.914931283194</v>
      </c>
      <c r="F40" s="973">
        <f>tertiair!E20</f>
        <v>398.77469688287778</v>
      </c>
      <c r="G40" s="973">
        <f ca="1">tertiair!F20</f>
        <v>8132.6859714876691</v>
      </c>
      <c r="H40" s="973">
        <f>tertiair!G20</f>
        <v>0</v>
      </c>
      <c r="I40" s="973">
        <f>tertiair!H20</f>
        <v>0</v>
      </c>
      <c r="J40" s="973">
        <f>tertiair!I20</f>
        <v>0</v>
      </c>
      <c r="K40" s="973">
        <f>tertiair!J20</f>
        <v>3.403351432283018E-2</v>
      </c>
      <c r="L40" s="973">
        <f>tertiair!K20</f>
        <v>0</v>
      </c>
      <c r="M40" s="973">
        <f ca="1">tertiair!L20</f>
        <v>0</v>
      </c>
      <c r="N40" s="973">
        <f>tertiair!M20</f>
        <v>0</v>
      </c>
      <c r="O40" s="973">
        <f ca="1">tertiair!N20</f>
        <v>0</v>
      </c>
      <c r="P40" s="973">
        <f>tertiair!O20</f>
        <v>0</v>
      </c>
      <c r="Q40" s="742">
        <f>tertiair!P20</f>
        <v>0</v>
      </c>
      <c r="R40" s="818">
        <f t="shared" ca="1" si="4"/>
        <v>73862.09281840855</v>
      </c>
    </row>
    <row r="41" spans="1:18">
      <c r="A41" s="790" t="s">
        <v>219</v>
      </c>
      <c r="B41" s="797"/>
      <c r="C41" s="973">
        <f ca="1">huishoudens!B12</f>
        <v>10636.072396410578</v>
      </c>
      <c r="D41" s="973">
        <f ca="1">huishoudens!C12</f>
        <v>0</v>
      </c>
      <c r="E41" s="973">
        <f>huishoudens!D12</f>
        <v>33773.013452799707</v>
      </c>
      <c r="F41" s="973">
        <f>huishoudens!E12</f>
        <v>439.93999906814548</v>
      </c>
      <c r="G41" s="973">
        <f>huishoudens!F12</f>
        <v>13110.179349651655</v>
      </c>
      <c r="H41" s="973">
        <f>huishoudens!G12</f>
        <v>0</v>
      </c>
      <c r="I41" s="973">
        <f>huishoudens!H12</f>
        <v>0</v>
      </c>
      <c r="J41" s="973">
        <f>huishoudens!I12</f>
        <v>0</v>
      </c>
      <c r="K41" s="973">
        <f>huishoudens!J12</f>
        <v>83.640404917763007</v>
      </c>
      <c r="L41" s="973">
        <f>huishoudens!K12</f>
        <v>0</v>
      </c>
      <c r="M41" s="973">
        <f>huishoudens!L12</f>
        <v>0</v>
      </c>
      <c r="N41" s="973">
        <f>huishoudens!M12</f>
        <v>0</v>
      </c>
      <c r="O41" s="973">
        <f>huishoudens!N12</f>
        <v>0</v>
      </c>
      <c r="P41" s="973">
        <f>huishoudens!O12</f>
        <v>0</v>
      </c>
      <c r="Q41" s="742">
        <f>huishoudens!P12</f>
        <v>0</v>
      </c>
      <c r="R41" s="818">
        <f t="shared" ca="1" si="4"/>
        <v>58042.845602847854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9045.1352489502297</v>
      </c>
      <c r="D43" s="973">
        <f ca="1">industrie!C22</f>
        <v>0</v>
      </c>
      <c r="E43" s="973">
        <f>industrie!D22</f>
        <v>5761.5421454853131</v>
      </c>
      <c r="F43" s="973">
        <f>industrie!E22</f>
        <v>295.78175476247588</v>
      </c>
      <c r="G43" s="973">
        <f>industrie!F22</f>
        <v>1627.6966237572333</v>
      </c>
      <c r="H43" s="973">
        <f>industrie!G22</f>
        <v>0</v>
      </c>
      <c r="I43" s="973">
        <f>industrie!H22</f>
        <v>0</v>
      </c>
      <c r="J43" s="973">
        <f>industrie!I22</f>
        <v>0</v>
      </c>
      <c r="K43" s="973">
        <f>industrie!J22</f>
        <v>5.1828462729940528</v>
      </c>
      <c r="L43" s="973">
        <f>industrie!K22</f>
        <v>0</v>
      </c>
      <c r="M43" s="973">
        <f>industrie!L22</f>
        <v>0</v>
      </c>
      <c r="N43" s="973">
        <f>industrie!M22</f>
        <v>0</v>
      </c>
      <c r="O43" s="973">
        <f>industrie!N22</f>
        <v>0</v>
      </c>
      <c r="P43" s="973">
        <f>industrie!O22</f>
        <v>0</v>
      </c>
      <c r="Q43" s="742">
        <f>industrie!P22</f>
        <v>0</v>
      </c>
      <c r="R43" s="817">
        <f t="shared" ca="1" si="4"/>
        <v>16735.338619228245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61306.954696147513</v>
      </c>
      <c r="D46" s="700">
        <f t="shared" ref="D46:Q46" ca="1" si="5">SUM(D39:D45)</f>
        <v>271.93613445378156</v>
      </c>
      <c r="E46" s="700">
        <f t="shared" ca="1" si="5"/>
        <v>62967.470529568214</v>
      </c>
      <c r="F46" s="700">
        <f t="shared" si="5"/>
        <v>1134.4964507134991</v>
      </c>
      <c r="G46" s="700">
        <f t="shared" ca="1" si="5"/>
        <v>22870.561944896559</v>
      </c>
      <c r="H46" s="700">
        <f t="shared" si="5"/>
        <v>0</v>
      </c>
      <c r="I46" s="700">
        <f t="shared" si="5"/>
        <v>0</v>
      </c>
      <c r="J46" s="700">
        <f t="shared" si="5"/>
        <v>0</v>
      </c>
      <c r="K46" s="700">
        <f t="shared" si="5"/>
        <v>88.857284705079891</v>
      </c>
      <c r="L46" s="700">
        <f t="shared" si="5"/>
        <v>0</v>
      </c>
      <c r="M46" s="700">
        <f t="shared" ca="1" si="5"/>
        <v>0</v>
      </c>
      <c r="N46" s="700">
        <f t="shared" si="5"/>
        <v>0</v>
      </c>
      <c r="O46" s="700">
        <f t="shared" ca="1" si="5"/>
        <v>0</v>
      </c>
      <c r="P46" s="700">
        <f t="shared" si="5"/>
        <v>0</v>
      </c>
      <c r="Q46" s="700">
        <f t="shared" si="5"/>
        <v>0</v>
      </c>
      <c r="R46" s="700">
        <f ca="1">SUM(R39:R45)</f>
        <v>148640.27704048465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20.50203876487365</v>
      </c>
      <c r="D49" s="973">
        <f ca="1">transport!C58</f>
        <v>0</v>
      </c>
      <c r="E49" s="973">
        <f>transport!D58</f>
        <v>0</v>
      </c>
      <c r="F49" s="973">
        <f>transport!E58</f>
        <v>0</v>
      </c>
      <c r="G49" s="973">
        <f>transport!F58</f>
        <v>0</v>
      </c>
      <c r="H49" s="973">
        <f>transport!G58</f>
        <v>2370.9726256306899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2391.4746643955637</v>
      </c>
    </row>
    <row r="50" spans="1:18">
      <c r="A50" s="793" t="s">
        <v>301</v>
      </c>
      <c r="B50" s="803"/>
      <c r="C50" s="671">
        <f ca="1">transport!B18</f>
        <v>82.661790237471664</v>
      </c>
      <c r="D50" s="671">
        <f>transport!C18</f>
        <v>0</v>
      </c>
      <c r="E50" s="671">
        <f>transport!D18</f>
        <v>112.0451033253527</v>
      </c>
      <c r="F50" s="671">
        <f>transport!E18</f>
        <v>254.98949610807276</v>
      </c>
      <c r="G50" s="671">
        <f>transport!F18</f>
        <v>0</v>
      </c>
      <c r="H50" s="671">
        <f>transport!G18</f>
        <v>113767.19285217766</v>
      </c>
      <c r="I50" s="671">
        <f>transport!H18</f>
        <v>22958.379990372756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137175.2692322213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103.16382900234531</v>
      </c>
      <c r="D52" s="700">
        <f t="shared" ref="D52:Q52" ca="1" si="6">SUM(D48:D51)</f>
        <v>0</v>
      </c>
      <c r="E52" s="700">
        <f t="shared" si="6"/>
        <v>112.0451033253527</v>
      </c>
      <c r="F52" s="700">
        <f t="shared" si="6"/>
        <v>254.98949610807276</v>
      </c>
      <c r="G52" s="700">
        <f t="shared" si="6"/>
        <v>0</v>
      </c>
      <c r="H52" s="700">
        <f t="shared" si="6"/>
        <v>116138.16547780835</v>
      </c>
      <c r="I52" s="700">
        <f t="shared" si="6"/>
        <v>22958.379990372756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139566.74389661686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108.73555113226151</v>
      </c>
      <c r="D54" s="671">
        <f ca="1">+landbouw!C12</f>
        <v>0</v>
      </c>
      <c r="E54" s="671">
        <f>+landbouw!D12</f>
        <v>32.843098501984237</v>
      </c>
      <c r="F54" s="671">
        <f>+landbouw!E12</f>
        <v>3.3451027678358018</v>
      </c>
      <c r="G54" s="671">
        <f>+landbouw!F12</f>
        <v>557.65266681573632</v>
      </c>
      <c r="H54" s="671">
        <f>+landbouw!G12</f>
        <v>0</v>
      </c>
      <c r="I54" s="671">
        <f>+landbouw!H12</f>
        <v>0</v>
      </c>
      <c r="J54" s="671">
        <f>+landbouw!I12</f>
        <v>0</v>
      </c>
      <c r="K54" s="671">
        <f>+landbouw!J12</f>
        <v>25.712610246898628</v>
      </c>
      <c r="L54" s="671">
        <f>+landbouw!K12</f>
        <v>0</v>
      </c>
      <c r="M54" s="671">
        <f>+landbouw!L12</f>
        <v>0</v>
      </c>
      <c r="N54" s="671">
        <f>+landbouw!M12</f>
        <v>0</v>
      </c>
      <c r="O54" s="671">
        <f>+landbouw!N12</f>
        <v>0</v>
      </c>
      <c r="P54" s="671">
        <f>+landbouw!O12</f>
        <v>0</v>
      </c>
      <c r="Q54" s="672">
        <f>+landbouw!P12</f>
        <v>0</v>
      </c>
      <c r="R54" s="699">
        <f ca="1">SUM(C54:Q54)</f>
        <v>728.28902946471646</v>
      </c>
    </row>
    <row r="55" spans="1:18" ht="15" thickBot="1">
      <c r="A55" s="793" t="s">
        <v>808</v>
      </c>
      <c r="B55" s="803"/>
      <c r="C55" s="671">
        <f ca="1">C25*'EF ele_warmte'!B12</f>
        <v>1690.1775036806246</v>
      </c>
      <c r="D55" s="671"/>
      <c r="E55" s="671">
        <f>E25*EF_CO2_aardgas</f>
        <v>3055.7067544758024</v>
      </c>
      <c r="F55" s="671"/>
      <c r="G55" s="671"/>
      <c r="H55" s="671"/>
      <c r="I55" s="671"/>
      <c r="J55" s="671"/>
      <c r="K55" s="671"/>
      <c r="L55" s="671"/>
      <c r="M55" s="671"/>
      <c r="N55" s="671"/>
      <c r="O55" s="671"/>
      <c r="P55" s="671"/>
      <c r="Q55" s="672"/>
      <c r="R55" s="699">
        <f ca="1">SUM(C55:Q55)</f>
        <v>4745.8842581564268</v>
      </c>
    </row>
    <row r="56" spans="1:18" ht="15.75" thickBot="1">
      <c r="A56" s="791" t="s">
        <v>809</v>
      </c>
      <c r="B56" s="804"/>
      <c r="C56" s="700">
        <f ca="1">SUM(C54:C55)</f>
        <v>1798.913054812886</v>
      </c>
      <c r="D56" s="700">
        <f t="shared" ref="D56:Q56" ca="1" si="7">SUM(D54:D55)</f>
        <v>0</v>
      </c>
      <c r="E56" s="700">
        <f t="shared" si="7"/>
        <v>3088.5498529777865</v>
      </c>
      <c r="F56" s="700">
        <f t="shared" si="7"/>
        <v>3.3451027678358018</v>
      </c>
      <c r="G56" s="700">
        <f t="shared" si="7"/>
        <v>557.65266681573632</v>
      </c>
      <c r="H56" s="700">
        <f t="shared" si="7"/>
        <v>0</v>
      </c>
      <c r="I56" s="700">
        <f t="shared" si="7"/>
        <v>0</v>
      </c>
      <c r="J56" s="700">
        <f t="shared" si="7"/>
        <v>0</v>
      </c>
      <c r="K56" s="700">
        <f t="shared" si="7"/>
        <v>25.712610246898628</v>
      </c>
      <c r="L56" s="700">
        <f t="shared" si="7"/>
        <v>0</v>
      </c>
      <c r="M56" s="700">
        <f t="shared" si="7"/>
        <v>0</v>
      </c>
      <c r="N56" s="700">
        <f t="shared" si="7"/>
        <v>0</v>
      </c>
      <c r="O56" s="700">
        <f t="shared" si="7"/>
        <v>0</v>
      </c>
      <c r="P56" s="700">
        <f t="shared" si="7"/>
        <v>0</v>
      </c>
      <c r="Q56" s="701">
        <f t="shared" si="7"/>
        <v>0</v>
      </c>
      <c r="R56" s="702">
        <f ca="1">SUM(R54:R55)</f>
        <v>5474.1732876211436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63209.03157996275</v>
      </c>
      <c r="D61" s="708">
        <f t="shared" ref="D61:Q61" ca="1" si="8">D46+D52+D56</f>
        <v>271.93613445378156</v>
      </c>
      <c r="E61" s="708">
        <f t="shared" ca="1" si="8"/>
        <v>66168.065485871353</v>
      </c>
      <c r="F61" s="708">
        <f t="shared" si="8"/>
        <v>1392.8310495894077</v>
      </c>
      <c r="G61" s="708">
        <f t="shared" ca="1" si="8"/>
        <v>23428.214611712294</v>
      </c>
      <c r="H61" s="708">
        <f t="shared" si="8"/>
        <v>116138.16547780835</v>
      </c>
      <c r="I61" s="708">
        <f t="shared" si="8"/>
        <v>22958.379990372756</v>
      </c>
      <c r="J61" s="708">
        <f t="shared" si="8"/>
        <v>0</v>
      </c>
      <c r="K61" s="708">
        <f t="shared" si="8"/>
        <v>114.56989495197851</v>
      </c>
      <c r="L61" s="708">
        <f t="shared" si="8"/>
        <v>0</v>
      </c>
      <c r="M61" s="708">
        <f t="shared" ca="1" si="8"/>
        <v>0</v>
      </c>
      <c r="N61" s="708">
        <f t="shared" si="8"/>
        <v>0</v>
      </c>
      <c r="O61" s="708">
        <f t="shared" ca="1" si="8"/>
        <v>0</v>
      </c>
      <c r="P61" s="708">
        <f t="shared" si="8"/>
        <v>0</v>
      </c>
      <c r="Q61" s="708">
        <f t="shared" si="8"/>
        <v>0</v>
      </c>
      <c r="R61" s="708">
        <f ca="1">R46+R52+R56</f>
        <v>293681.19422472263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0.21688657488008742</v>
      </c>
      <c r="D63" s="749">
        <f t="shared" ca="1" si="9"/>
        <v>0.23764705882352946</v>
      </c>
      <c r="E63" s="984">
        <f t="shared" ca="1" si="9"/>
        <v>0.20199999999999999</v>
      </c>
      <c r="F63" s="749">
        <f t="shared" si="9"/>
        <v>0.22700000000000001</v>
      </c>
      <c r="G63" s="749">
        <f t="shared" ca="1" si="9"/>
        <v>0.26700000000000007</v>
      </c>
      <c r="H63" s="749">
        <f t="shared" si="9"/>
        <v>0.26700000000000002</v>
      </c>
      <c r="I63" s="749">
        <f t="shared" si="9"/>
        <v>0.24899999999999997</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5484.8121276473848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801</v>
      </c>
      <c r="D76" s="994">
        <f>'lokale energieproductie'!C8</f>
        <v>942.35294117647084</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190.35529411764713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5484.8121276473848</v>
      </c>
      <c r="C78" s="723">
        <f>SUM(C72:C77)</f>
        <v>801</v>
      </c>
      <c r="D78" s="724">
        <f t="shared" ref="D78:H78" si="10">SUM(D76:D77)</f>
        <v>942.35294117647084</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190.35529411764713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1144.2857142857142</v>
      </c>
      <c r="D87" s="745">
        <f>'lokale energieproductie'!C17</f>
        <v>1346.2184873949582</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271.93613445378156</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1144.2857142857142</v>
      </c>
      <c r="D90" s="723">
        <f t="shared" ref="D90:H90" si="12">SUM(D87:D89)</f>
        <v>1346.2184873949582</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271.93613445378156</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49039.791431493955</v>
      </c>
      <c r="C4" s="445">
        <f>huishoudens!C8</f>
        <v>0</v>
      </c>
      <c r="D4" s="445">
        <f>huishoudens!D8</f>
        <v>167193.13590494904</v>
      </c>
      <c r="E4" s="445">
        <f>huishoudens!E8</f>
        <v>1938.0616699037246</v>
      </c>
      <c r="F4" s="445">
        <f>huishoudens!F8</f>
        <v>49101.795317047392</v>
      </c>
      <c r="G4" s="445">
        <f>huishoudens!G8</f>
        <v>0</v>
      </c>
      <c r="H4" s="445">
        <f>huishoudens!H8</f>
        <v>0</v>
      </c>
      <c r="I4" s="445">
        <f>huishoudens!I8</f>
        <v>0</v>
      </c>
      <c r="J4" s="445">
        <f>huishoudens!J8</f>
        <v>236.27233027616671</v>
      </c>
      <c r="K4" s="445">
        <f>huishoudens!K8</f>
        <v>0</v>
      </c>
      <c r="L4" s="445">
        <f>huishoudens!L8</f>
        <v>0</v>
      </c>
      <c r="M4" s="445">
        <f>huishoudens!M8</f>
        <v>0</v>
      </c>
      <c r="N4" s="445">
        <f>huishoudens!N8</f>
        <v>18969.151264502845</v>
      </c>
      <c r="O4" s="445">
        <f>huishoudens!O8</f>
        <v>123.50333333333334</v>
      </c>
      <c r="P4" s="446">
        <f>huishoudens!P8</f>
        <v>743.6</v>
      </c>
      <c r="Q4" s="447">
        <f>SUM(B4:P4)</f>
        <v>287345.31125150638</v>
      </c>
    </row>
    <row r="5" spans="1:17">
      <c r="A5" s="444" t="s">
        <v>155</v>
      </c>
      <c r="B5" s="445">
        <f ca="1">tertiair!B16</f>
        <v>189110.71513231593</v>
      </c>
      <c r="C5" s="445">
        <f ca="1">tertiair!C16</f>
        <v>1144.2857142857142</v>
      </c>
      <c r="D5" s="445">
        <f ca="1">tertiair!D16</f>
        <v>116004.52936278807</v>
      </c>
      <c r="E5" s="445">
        <f>tertiair!E16</f>
        <v>1756.7167263562897</v>
      </c>
      <c r="F5" s="445">
        <f ca="1">tertiair!F16</f>
        <v>30459.498020553066</v>
      </c>
      <c r="G5" s="445">
        <f>tertiair!G16</f>
        <v>0</v>
      </c>
      <c r="H5" s="445">
        <f>tertiair!H16</f>
        <v>0</v>
      </c>
      <c r="I5" s="445">
        <f>tertiair!I16</f>
        <v>0</v>
      </c>
      <c r="J5" s="445">
        <f>tertiair!J16</f>
        <v>9.6139870968446839E-2</v>
      </c>
      <c r="K5" s="445">
        <f>tertiair!K16</f>
        <v>0</v>
      </c>
      <c r="L5" s="445">
        <f ca="1">tertiair!L16</f>
        <v>0</v>
      </c>
      <c r="M5" s="445">
        <f>tertiair!M16</f>
        <v>0</v>
      </c>
      <c r="N5" s="445">
        <f ca="1">tertiair!N16</f>
        <v>4014.2442212226597</v>
      </c>
      <c r="O5" s="445">
        <f>tertiair!O16</f>
        <v>1.5633333333333335</v>
      </c>
      <c r="P5" s="446">
        <f>tertiair!P16</f>
        <v>76.266666666666666</v>
      </c>
      <c r="Q5" s="444">
        <f t="shared" ref="Q5:Q14" ca="1" si="0">SUM(B5:P5)</f>
        <v>342567.91531739279</v>
      </c>
    </row>
    <row r="6" spans="1:17">
      <c r="A6" s="444" t="s">
        <v>193</v>
      </c>
      <c r="B6" s="445">
        <f>'openbare verlichting'!B8</f>
        <v>2813.3220000000001</v>
      </c>
      <c r="C6" s="445"/>
      <c r="D6" s="445"/>
      <c r="E6" s="445"/>
      <c r="F6" s="445"/>
      <c r="G6" s="445"/>
      <c r="H6" s="445"/>
      <c r="I6" s="445"/>
      <c r="J6" s="445"/>
      <c r="K6" s="445"/>
      <c r="L6" s="445"/>
      <c r="M6" s="445"/>
      <c r="N6" s="445"/>
      <c r="O6" s="445"/>
      <c r="P6" s="446"/>
      <c r="Q6" s="444">
        <f t="shared" si="0"/>
        <v>2813.3220000000001</v>
      </c>
    </row>
    <row r="7" spans="1:17">
      <c r="A7" s="444" t="s">
        <v>111</v>
      </c>
      <c r="B7" s="445">
        <f>landbouw!B8</f>
        <v>501.34754164650082</v>
      </c>
      <c r="C7" s="445">
        <f>landbouw!C8</f>
        <v>0</v>
      </c>
      <c r="D7" s="445">
        <f>landbouw!D8</f>
        <v>162.58959654447639</v>
      </c>
      <c r="E7" s="445">
        <f>landbouw!E8</f>
        <v>14.736135541126879</v>
      </c>
      <c r="F7" s="445">
        <f>landbouw!F8</f>
        <v>2088.5867671001361</v>
      </c>
      <c r="G7" s="445">
        <f>landbouw!G8</f>
        <v>0</v>
      </c>
      <c r="H7" s="445">
        <f>landbouw!H8</f>
        <v>0</v>
      </c>
      <c r="I7" s="445">
        <f>landbouw!I8</f>
        <v>0</v>
      </c>
      <c r="J7" s="445">
        <f>landbouw!J8</f>
        <v>72.634492222877483</v>
      </c>
      <c r="K7" s="445">
        <f>landbouw!K8</f>
        <v>0</v>
      </c>
      <c r="L7" s="445">
        <f>landbouw!L8</f>
        <v>0</v>
      </c>
      <c r="M7" s="445">
        <f>landbouw!M8</f>
        <v>0</v>
      </c>
      <c r="N7" s="445">
        <f>landbouw!N8</f>
        <v>0</v>
      </c>
      <c r="O7" s="445">
        <f>landbouw!O8</f>
        <v>0</v>
      </c>
      <c r="P7" s="446">
        <f>landbouw!P8</f>
        <v>0</v>
      </c>
      <c r="Q7" s="444">
        <f t="shared" si="0"/>
        <v>2839.8945330551173</v>
      </c>
    </row>
    <row r="8" spans="1:17">
      <c r="A8" s="444" t="s">
        <v>627</v>
      </c>
      <c r="B8" s="445">
        <f>industrie!B18</f>
        <v>41704.449682748324</v>
      </c>
      <c r="C8" s="445">
        <f>industrie!C18</f>
        <v>0</v>
      </c>
      <c r="D8" s="445">
        <f>industrie!D18</f>
        <v>28522.485868739172</v>
      </c>
      <c r="E8" s="445">
        <f>industrie!E18</f>
        <v>1303.0033249448277</v>
      </c>
      <c r="F8" s="445">
        <f>industrie!F18</f>
        <v>6096.2420365439448</v>
      </c>
      <c r="G8" s="445">
        <f>industrie!G18</f>
        <v>0</v>
      </c>
      <c r="H8" s="445">
        <f>industrie!H18</f>
        <v>0</v>
      </c>
      <c r="I8" s="445">
        <f>industrie!I18</f>
        <v>0</v>
      </c>
      <c r="J8" s="445">
        <f>industrie!J18</f>
        <v>14.64080868077416</v>
      </c>
      <c r="K8" s="445">
        <f>industrie!K18</f>
        <v>0</v>
      </c>
      <c r="L8" s="445">
        <f>industrie!L18</f>
        <v>0</v>
      </c>
      <c r="M8" s="445">
        <f>industrie!M18</f>
        <v>0</v>
      </c>
      <c r="N8" s="445">
        <f>industrie!N18</f>
        <v>1190.8955331651132</v>
      </c>
      <c r="O8" s="445">
        <f>industrie!O18</f>
        <v>0</v>
      </c>
      <c r="P8" s="446">
        <f>industrie!P18</f>
        <v>0</v>
      </c>
      <c r="Q8" s="444">
        <f t="shared" si="0"/>
        <v>78831.717254822157</v>
      </c>
    </row>
    <row r="9" spans="1:17" s="450" customFormat="1">
      <c r="A9" s="448" t="s">
        <v>553</v>
      </c>
      <c r="B9" s="449">
        <f>transport!B14</f>
        <v>381.12912375131503</v>
      </c>
      <c r="C9" s="449">
        <f>transport!C14</f>
        <v>0</v>
      </c>
      <c r="D9" s="449">
        <f>transport!D14</f>
        <v>554.67872933342915</v>
      </c>
      <c r="E9" s="449">
        <f>transport!E14</f>
        <v>1123.3017449694835</v>
      </c>
      <c r="F9" s="449">
        <f>transport!F14</f>
        <v>0</v>
      </c>
      <c r="G9" s="449">
        <f>transport!G14</f>
        <v>426094.35525160166</v>
      </c>
      <c r="H9" s="449">
        <f>transport!H14</f>
        <v>92202.329278605452</v>
      </c>
      <c r="I9" s="449">
        <f>transport!I14</f>
        <v>0</v>
      </c>
      <c r="J9" s="449">
        <f>transport!J14</f>
        <v>0</v>
      </c>
      <c r="K9" s="449">
        <f>transport!K14</f>
        <v>0</v>
      </c>
      <c r="L9" s="449">
        <f>transport!L14</f>
        <v>0</v>
      </c>
      <c r="M9" s="449">
        <f>transport!M14</f>
        <v>27609.214654110743</v>
      </c>
      <c r="N9" s="449">
        <f>transport!N14</f>
        <v>0</v>
      </c>
      <c r="O9" s="449">
        <f>transport!O14</f>
        <v>0</v>
      </c>
      <c r="P9" s="449">
        <f>transport!P14</f>
        <v>0</v>
      </c>
      <c r="Q9" s="448">
        <f>SUM(B9:P9)</f>
        <v>547965.00878237211</v>
      </c>
    </row>
    <row r="10" spans="1:17">
      <c r="A10" s="444" t="s">
        <v>543</v>
      </c>
      <c r="B10" s="445">
        <f>transport!B54</f>
        <v>94.528851203486681</v>
      </c>
      <c r="C10" s="445">
        <f>transport!C54</f>
        <v>0</v>
      </c>
      <c r="D10" s="445">
        <f>transport!D54</f>
        <v>0</v>
      </c>
      <c r="E10" s="445">
        <f>transport!E54</f>
        <v>0</v>
      </c>
      <c r="F10" s="445">
        <f>transport!F54</f>
        <v>0</v>
      </c>
      <c r="G10" s="445">
        <f>transport!G54</f>
        <v>8880.0472870063295</v>
      </c>
      <c r="H10" s="445">
        <f>transport!H54</f>
        <v>0</v>
      </c>
      <c r="I10" s="445">
        <f>transport!I54</f>
        <v>0</v>
      </c>
      <c r="J10" s="445">
        <f>transport!J54</f>
        <v>0</v>
      </c>
      <c r="K10" s="445">
        <f>transport!K54</f>
        <v>0</v>
      </c>
      <c r="L10" s="445">
        <f>transport!L54</f>
        <v>0</v>
      </c>
      <c r="M10" s="445">
        <f>transport!M54</f>
        <v>511.3752607744039</v>
      </c>
      <c r="N10" s="445">
        <f>transport!N54</f>
        <v>0</v>
      </c>
      <c r="O10" s="445">
        <f>transport!O54</f>
        <v>0</v>
      </c>
      <c r="P10" s="446">
        <f>transport!P54</f>
        <v>0</v>
      </c>
      <c r="Q10" s="444">
        <f t="shared" si="0"/>
        <v>9485.9513989842198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7792.9097484023305</v>
      </c>
      <c r="C14" s="452"/>
      <c r="D14" s="452">
        <f>'SEAP template'!E25</f>
        <v>15127.261160771299</v>
      </c>
      <c r="E14" s="452"/>
      <c r="F14" s="452"/>
      <c r="G14" s="452"/>
      <c r="H14" s="452"/>
      <c r="I14" s="452"/>
      <c r="J14" s="452"/>
      <c r="K14" s="452"/>
      <c r="L14" s="452"/>
      <c r="M14" s="452"/>
      <c r="N14" s="452"/>
      <c r="O14" s="452"/>
      <c r="P14" s="453"/>
      <c r="Q14" s="444">
        <f t="shared" si="0"/>
        <v>22920.17090917363</v>
      </c>
    </row>
    <row r="15" spans="1:17" s="454" customFormat="1">
      <c r="A15" s="999" t="s">
        <v>547</v>
      </c>
      <c r="B15" s="947">
        <f ca="1">SUM(B4:B14)</f>
        <v>291438.19351156184</v>
      </c>
      <c r="C15" s="947">
        <f t="shared" ref="C15:Q15" ca="1" si="1">SUM(C4:C14)</f>
        <v>1144.2857142857142</v>
      </c>
      <c r="D15" s="947">
        <f t="shared" ca="1" si="1"/>
        <v>327564.68062312552</v>
      </c>
      <c r="E15" s="947">
        <f t="shared" si="1"/>
        <v>6135.8196017154523</v>
      </c>
      <c r="F15" s="947">
        <f t="shared" ca="1" si="1"/>
        <v>87746.12214124453</v>
      </c>
      <c r="G15" s="947">
        <f t="shared" si="1"/>
        <v>434974.402538608</v>
      </c>
      <c r="H15" s="947">
        <f t="shared" si="1"/>
        <v>92202.329278605452</v>
      </c>
      <c r="I15" s="947">
        <f t="shared" si="1"/>
        <v>0</v>
      </c>
      <c r="J15" s="947">
        <f t="shared" si="1"/>
        <v>323.64377105078682</v>
      </c>
      <c r="K15" s="947">
        <f t="shared" si="1"/>
        <v>0</v>
      </c>
      <c r="L15" s="947">
        <f t="shared" ca="1" si="1"/>
        <v>0</v>
      </c>
      <c r="M15" s="947">
        <f t="shared" si="1"/>
        <v>28120.589914885146</v>
      </c>
      <c r="N15" s="947">
        <f t="shared" ca="1" si="1"/>
        <v>24174.291018890617</v>
      </c>
      <c r="O15" s="947">
        <f t="shared" si="1"/>
        <v>125.06666666666668</v>
      </c>
      <c r="P15" s="947">
        <f t="shared" si="1"/>
        <v>819.86666666666667</v>
      </c>
      <c r="Q15" s="947">
        <f t="shared" ca="1" si="1"/>
        <v>1294769.2914473065</v>
      </c>
    </row>
    <row r="17" spans="1:17">
      <c r="A17" s="455" t="s">
        <v>548</v>
      </c>
      <c r="B17" s="754">
        <f ca="1">huishoudens!B10</f>
        <v>0.21688657488008733</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10636.072396410578</v>
      </c>
      <c r="C22" s="445">
        <f t="shared" ref="C22:C32" ca="1" si="3">C4*$C$17</f>
        <v>0</v>
      </c>
      <c r="D22" s="445">
        <f t="shared" ref="D22:D32" si="4">D4*$D$17</f>
        <v>33773.013452799707</v>
      </c>
      <c r="E22" s="445">
        <f t="shared" ref="E22:E32" si="5">E4*$E$17</f>
        <v>439.93999906814548</v>
      </c>
      <c r="F22" s="445">
        <f t="shared" ref="F22:F32" si="6">F4*$F$17</f>
        <v>13110.179349651655</v>
      </c>
      <c r="G22" s="445">
        <f t="shared" ref="G22:G32" si="7">G4*$G$17</f>
        <v>0</v>
      </c>
      <c r="H22" s="445">
        <f t="shared" ref="H22:H32" si="8">H4*$H$17</f>
        <v>0</v>
      </c>
      <c r="I22" s="445">
        <f t="shared" ref="I22:I32" si="9">I4*$I$17</f>
        <v>0</v>
      </c>
      <c r="J22" s="445">
        <f t="shared" ref="J22:J32" si="10">J4*$J$17</f>
        <v>83.640404917763007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58042.845602847854</v>
      </c>
    </row>
    <row r="23" spans="1:17">
      <c r="A23" s="444" t="s">
        <v>155</v>
      </c>
      <c r="B23" s="445">
        <f t="shared" ca="1" si="2"/>
        <v>41015.575278171906</v>
      </c>
      <c r="C23" s="445">
        <f t="shared" ca="1" si="3"/>
        <v>271.93613445378156</v>
      </c>
      <c r="D23" s="445">
        <f t="shared" ca="1" si="4"/>
        <v>23432.914931283194</v>
      </c>
      <c r="E23" s="445">
        <f t="shared" si="5"/>
        <v>398.77469688287778</v>
      </c>
      <c r="F23" s="445">
        <f t="shared" ca="1" si="6"/>
        <v>8132.6859714876691</v>
      </c>
      <c r="G23" s="445">
        <f t="shared" si="7"/>
        <v>0</v>
      </c>
      <c r="H23" s="445">
        <f t="shared" si="8"/>
        <v>0</v>
      </c>
      <c r="I23" s="445">
        <f t="shared" si="9"/>
        <v>0</v>
      </c>
      <c r="J23" s="445">
        <f t="shared" si="10"/>
        <v>3.403351432283018E-2</v>
      </c>
      <c r="K23" s="445">
        <f t="shared" si="11"/>
        <v>0</v>
      </c>
      <c r="L23" s="445">
        <f t="shared" ca="1" si="12"/>
        <v>0</v>
      </c>
      <c r="M23" s="445">
        <f t="shared" si="13"/>
        <v>0</v>
      </c>
      <c r="N23" s="445">
        <f t="shared" ca="1" si="14"/>
        <v>0</v>
      </c>
      <c r="O23" s="445">
        <f t="shared" si="15"/>
        <v>0</v>
      </c>
      <c r="P23" s="446">
        <f t="shared" si="16"/>
        <v>0</v>
      </c>
      <c r="Q23" s="444">
        <f t="shared" ref="Q23:Q32" ca="1" si="17">SUM(B23:P23)</f>
        <v>73251.921045793759</v>
      </c>
    </row>
    <row r="24" spans="1:17">
      <c r="A24" s="444" t="s">
        <v>193</v>
      </c>
      <c r="B24" s="445">
        <f t="shared" ca="1" si="2"/>
        <v>610.17177261479708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610.17177261479708</v>
      </c>
    </row>
    <row r="25" spans="1:17">
      <c r="A25" s="444" t="s">
        <v>111</v>
      </c>
      <c r="B25" s="445">
        <f t="shared" ca="1" si="2"/>
        <v>108.73555113226151</v>
      </c>
      <c r="C25" s="445">
        <f t="shared" ca="1" si="3"/>
        <v>0</v>
      </c>
      <c r="D25" s="445">
        <f t="shared" si="4"/>
        <v>32.843098501984237</v>
      </c>
      <c r="E25" s="445">
        <f t="shared" si="5"/>
        <v>3.3451027678358018</v>
      </c>
      <c r="F25" s="445">
        <f t="shared" si="6"/>
        <v>557.65266681573632</v>
      </c>
      <c r="G25" s="445">
        <f t="shared" si="7"/>
        <v>0</v>
      </c>
      <c r="H25" s="445">
        <f t="shared" si="8"/>
        <v>0</v>
      </c>
      <c r="I25" s="445">
        <f t="shared" si="9"/>
        <v>0</v>
      </c>
      <c r="J25" s="445">
        <f t="shared" si="10"/>
        <v>25.712610246898628</v>
      </c>
      <c r="K25" s="445">
        <f t="shared" si="11"/>
        <v>0</v>
      </c>
      <c r="L25" s="445">
        <f t="shared" si="12"/>
        <v>0</v>
      </c>
      <c r="M25" s="445">
        <f t="shared" si="13"/>
        <v>0</v>
      </c>
      <c r="N25" s="445">
        <f t="shared" si="14"/>
        <v>0</v>
      </c>
      <c r="O25" s="445">
        <f t="shared" si="15"/>
        <v>0</v>
      </c>
      <c r="P25" s="446">
        <f t="shared" si="16"/>
        <v>0</v>
      </c>
      <c r="Q25" s="444">
        <f t="shared" ca="1" si="17"/>
        <v>728.28902946471646</v>
      </c>
    </row>
    <row r="26" spans="1:17">
      <c r="A26" s="444" t="s">
        <v>627</v>
      </c>
      <c r="B26" s="445">
        <f t="shared" ca="1" si="2"/>
        <v>9045.1352489502297</v>
      </c>
      <c r="C26" s="445">
        <f t="shared" ca="1" si="3"/>
        <v>0</v>
      </c>
      <c r="D26" s="445">
        <f t="shared" si="4"/>
        <v>5761.5421454853131</v>
      </c>
      <c r="E26" s="445">
        <f t="shared" si="5"/>
        <v>295.78175476247588</v>
      </c>
      <c r="F26" s="445">
        <f t="shared" si="6"/>
        <v>1627.6966237572333</v>
      </c>
      <c r="G26" s="445">
        <f t="shared" si="7"/>
        <v>0</v>
      </c>
      <c r="H26" s="445">
        <f t="shared" si="8"/>
        <v>0</v>
      </c>
      <c r="I26" s="445">
        <f t="shared" si="9"/>
        <v>0</v>
      </c>
      <c r="J26" s="445">
        <f t="shared" si="10"/>
        <v>5.1828462729940528</v>
      </c>
      <c r="K26" s="445">
        <f t="shared" si="11"/>
        <v>0</v>
      </c>
      <c r="L26" s="445">
        <f t="shared" si="12"/>
        <v>0</v>
      </c>
      <c r="M26" s="445">
        <f t="shared" si="13"/>
        <v>0</v>
      </c>
      <c r="N26" s="445">
        <f t="shared" si="14"/>
        <v>0</v>
      </c>
      <c r="O26" s="445">
        <f t="shared" si="15"/>
        <v>0</v>
      </c>
      <c r="P26" s="446">
        <f t="shared" si="16"/>
        <v>0</v>
      </c>
      <c r="Q26" s="444">
        <f t="shared" ca="1" si="17"/>
        <v>16735.338619228245</v>
      </c>
    </row>
    <row r="27" spans="1:17" s="450" customFormat="1">
      <c r="A27" s="448" t="s">
        <v>553</v>
      </c>
      <c r="B27" s="748">
        <f t="shared" ca="1" si="2"/>
        <v>82.661790237471664</v>
      </c>
      <c r="C27" s="449">
        <f t="shared" ca="1" si="3"/>
        <v>0</v>
      </c>
      <c r="D27" s="449">
        <f t="shared" si="4"/>
        <v>112.0451033253527</v>
      </c>
      <c r="E27" s="449">
        <f t="shared" si="5"/>
        <v>254.98949610807276</v>
      </c>
      <c r="F27" s="449">
        <f t="shared" si="6"/>
        <v>0</v>
      </c>
      <c r="G27" s="449">
        <f t="shared" si="7"/>
        <v>113767.19285217766</v>
      </c>
      <c r="H27" s="449">
        <f t="shared" si="8"/>
        <v>22958.379990372756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137175.2692322213</v>
      </c>
    </row>
    <row r="28" spans="1:17">
      <c r="A28" s="444" t="s">
        <v>543</v>
      </c>
      <c r="B28" s="445">
        <f t="shared" ca="1" si="2"/>
        <v>20.50203876487365</v>
      </c>
      <c r="C28" s="445">
        <f t="shared" ca="1" si="3"/>
        <v>0</v>
      </c>
      <c r="D28" s="445">
        <f t="shared" si="4"/>
        <v>0</v>
      </c>
      <c r="E28" s="445">
        <f t="shared" si="5"/>
        <v>0</v>
      </c>
      <c r="F28" s="445">
        <f t="shared" si="6"/>
        <v>0</v>
      </c>
      <c r="G28" s="445">
        <f t="shared" si="7"/>
        <v>2370.9726256306899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2391.4746643955637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1690.1775036806246</v>
      </c>
      <c r="C32" s="445">
        <f t="shared" ca="1" si="3"/>
        <v>0</v>
      </c>
      <c r="D32" s="445">
        <f t="shared" si="4"/>
        <v>3055.7067544758024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4745.8842581564268</v>
      </c>
    </row>
    <row r="33" spans="1:17" s="454" customFormat="1">
      <c r="A33" s="999" t="s">
        <v>547</v>
      </c>
      <c r="B33" s="947">
        <f ca="1">SUM(B22:B32)</f>
        <v>63209.031579962742</v>
      </c>
      <c r="C33" s="947">
        <f t="shared" ref="C33:Q33" ca="1" si="18">SUM(C22:C32)</f>
        <v>271.93613445378156</v>
      </c>
      <c r="D33" s="947">
        <f t="shared" ca="1" si="18"/>
        <v>66168.065485871353</v>
      </c>
      <c r="E33" s="947">
        <f t="shared" si="18"/>
        <v>1392.8310495894075</v>
      </c>
      <c r="F33" s="947">
        <f t="shared" ca="1" si="18"/>
        <v>23428.214611712294</v>
      </c>
      <c r="G33" s="947">
        <f t="shared" si="18"/>
        <v>116138.16547780835</v>
      </c>
      <c r="H33" s="947">
        <f t="shared" si="18"/>
        <v>22958.379990372756</v>
      </c>
      <c r="I33" s="947">
        <f t="shared" si="18"/>
        <v>0</v>
      </c>
      <c r="J33" s="947">
        <f t="shared" si="18"/>
        <v>114.56989495197851</v>
      </c>
      <c r="K33" s="947">
        <f t="shared" si="18"/>
        <v>0</v>
      </c>
      <c r="L33" s="947">
        <f t="shared" ca="1" si="18"/>
        <v>0</v>
      </c>
      <c r="M33" s="947">
        <f t="shared" si="18"/>
        <v>0</v>
      </c>
      <c r="N33" s="947">
        <f t="shared" ca="1" si="18"/>
        <v>0</v>
      </c>
      <c r="O33" s="947">
        <f t="shared" si="18"/>
        <v>0</v>
      </c>
      <c r="P33" s="947">
        <f t="shared" si="18"/>
        <v>0</v>
      </c>
      <c r="Q33" s="947">
        <f t="shared" ca="1" si="18"/>
        <v>293681.19422472263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5484.8121276473848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801</v>
      </c>
      <c r="D8" s="1016">
        <f>'SEAP template'!D76</f>
        <v>942.35294117647084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190.35529411764713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5484.8121276473848</v>
      </c>
      <c r="C10" s="1020">
        <f>SUM(C4:C9)</f>
        <v>801</v>
      </c>
      <c r="D10" s="1020">
        <f t="shared" ref="D10:H10" si="0">SUM(D8:D9)</f>
        <v>942.35294117647084</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190.35529411764713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0.21688657488008733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1144.2857142857142</v>
      </c>
      <c r="D17" s="1017">
        <f>'SEAP template'!D87</f>
        <v>1346.2184873949582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271.93613445378156</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1144.2857142857142</v>
      </c>
      <c r="D20" s="1020">
        <f t="shared" ref="D20:H20" si="2">SUM(D17:D19)</f>
        <v>1346.2184873949582</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271.93613445378156</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0.21688657488008733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0.21688657488008733</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0.21688657488008733</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13610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722.34</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3</v>
      </c>
      <c r="C17" s="324"/>
      <c r="D17" s="324"/>
      <c r="E17" s="324"/>
      <c r="F17" s="324"/>
    </row>
    <row r="18" spans="1:6">
      <c r="A18" s="1291" t="s">
        <v>8</v>
      </c>
      <c r="B18" s="1292">
        <v>3</v>
      </c>
      <c r="C18" s="324"/>
      <c r="D18" s="324"/>
      <c r="E18" s="324"/>
      <c r="F18" s="324"/>
    </row>
    <row r="19" spans="1:6">
      <c r="A19" s="1291" t="s">
        <v>9</v>
      </c>
      <c r="B19" s="1292">
        <v>5</v>
      </c>
      <c r="C19" s="324"/>
      <c r="D19" s="324"/>
      <c r="E19" s="324"/>
      <c r="F19" s="324"/>
    </row>
    <row r="20" spans="1:6">
      <c r="A20" s="1291" t="s">
        <v>10</v>
      </c>
      <c r="B20" s="1292">
        <v>3</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30</v>
      </c>
      <c r="C29" s="330"/>
      <c r="D29" s="330"/>
      <c r="E29" s="330"/>
      <c r="F29" s="330"/>
    </row>
    <row r="30" spans="1:6">
      <c r="A30" s="1286" t="s">
        <v>723</v>
      </c>
      <c r="B30" s="1295">
        <v>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12570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25672</v>
      </c>
    </row>
    <row r="39" spans="1:6">
      <c r="A39" s="1291" t="s">
        <v>29</v>
      </c>
      <c r="B39" s="1291" t="s">
        <v>30</v>
      </c>
      <c r="C39" s="1292">
        <v>10778</v>
      </c>
      <c r="D39" s="1292">
        <v>185358243.797061</v>
      </c>
      <c r="E39" s="1292">
        <v>13822</v>
      </c>
      <c r="F39" s="1292">
        <v>47069320.716657899</v>
      </c>
    </row>
    <row r="40" spans="1:6">
      <c r="A40" s="1291" t="s">
        <v>29</v>
      </c>
      <c r="B40" s="1291" t="s">
        <v>28</v>
      </c>
      <c r="C40" s="1292">
        <v>0</v>
      </c>
      <c r="D40" s="1292">
        <v>0</v>
      </c>
      <c r="E40" s="1292">
        <v>0</v>
      </c>
      <c r="F40" s="1292">
        <v>0</v>
      </c>
    </row>
    <row r="41" spans="1:6">
      <c r="A41" s="1291" t="s">
        <v>31</v>
      </c>
      <c r="B41" s="1291" t="s">
        <v>32</v>
      </c>
      <c r="C41" s="1292">
        <v>82</v>
      </c>
      <c r="D41" s="1292">
        <v>9278256.4189322498</v>
      </c>
      <c r="E41" s="1292">
        <v>159</v>
      </c>
      <c r="F41" s="1292">
        <v>2640281.2603377602</v>
      </c>
    </row>
    <row r="42" spans="1:6">
      <c r="A42" s="1291" t="s">
        <v>31</v>
      </c>
      <c r="B42" s="1291" t="s">
        <v>33</v>
      </c>
      <c r="C42" s="1292">
        <v>0</v>
      </c>
      <c r="D42" s="1292">
        <v>0</v>
      </c>
      <c r="E42" s="1292">
        <v>5</v>
      </c>
      <c r="F42" s="1292">
        <v>655047.63122046296</v>
      </c>
    </row>
    <row r="43" spans="1:6">
      <c r="A43" s="1291" t="s">
        <v>31</v>
      </c>
      <c r="B43" s="1291" t="s">
        <v>34</v>
      </c>
      <c r="C43" s="1292">
        <v>0</v>
      </c>
      <c r="D43" s="1292">
        <v>0</v>
      </c>
      <c r="E43" s="1292">
        <v>0</v>
      </c>
      <c r="F43" s="1292">
        <v>0</v>
      </c>
    </row>
    <row r="44" spans="1:6">
      <c r="A44" s="1291" t="s">
        <v>31</v>
      </c>
      <c r="B44" s="1291" t="s">
        <v>35</v>
      </c>
      <c r="C44" s="1292">
        <v>9</v>
      </c>
      <c r="D44" s="1292">
        <v>14428181.8027931</v>
      </c>
      <c r="E44" s="1292">
        <v>20</v>
      </c>
      <c r="F44" s="1292">
        <v>32793346.5743379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9</v>
      </c>
      <c r="D47" s="1292">
        <v>165272.86815033</v>
      </c>
      <c r="E47" s="1292">
        <v>13</v>
      </c>
      <c r="F47" s="1292">
        <v>320820.518659889</v>
      </c>
    </row>
    <row r="48" spans="1:6">
      <c r="A48" s="1291" t="s">
        <v>31</v>
      </c>
      <c r="B48" s="1291" t="s">
        <v>28</v>
      </c>
      <c r="C48" s="1292">
        <v>73</v>
      </c>
      <c r="D48" s="1292">
        <v>6650151.9524133103</v>
      </c>
      <c r="E48" s="1292">
        <v>86</v>
      </c>
      <c r="F48" s="1292">
        <v>4075773.2622636999</v>
      </c>
    </row>
    <row r="49" spans="1:6">
      <c r="A49" s="1291" t="s">
        <v>31</v>
      </c>
      <c r="B49" s="1291" t="s">
        <v>39</v>
      </c>
      <c r="C49" s="1292">
        <v>0</v>
      </c>
      <c r="D49" s="1292">
        <v>0</v>
      </c>
      <c r="E49" s="1292">
        <v>0</v>
      </c>
      <c r="F49" s="1292">
        <v>0</v>
      </c>
    </row>
    <row r="50" spans="1:6">
      <c r="A50" s="1291" t="s">
        <v>31</v>
      </c>
      <c r="B50" s="1291" t="s">
        <v>40</v>
      </c>
      <c r="C50" s="1292">
        <v>7</v>
      </c>
      <c r="D50" s="1292">
        <v>1099518.18691186</v>
      </c>
      <c r="E50" s="1292">
        <v>17</v>
      </c>
      <c r="F50" s="1292">
        <v>1219180.4359286199</v>
      </c>
    </row>
    <row r="51" spans="1:6">
      <c r="A51" s="1291" t="s">
        <v>41</v>
      </c>
      <c r="B51" s="1291" t="s">
        <v>42</v>
      </c>
      <c r="C51" s="1292">
        <v>0</v>
      </c>
      <c r="D51" s="1292">
        <v>0</v>
      </c>
      <c r="E51" s="1292">
        <v>11</v>
      </c>
      <c r="F51" s="1292">
        <v>42001.8742152798</v>
      </c>
    </row>
    <row r="52" spans="1:6">
      <c r="A52" s="1291" t="s">
        <v>41</v>
      </c>
      <c r="B52" s="1291" t="s">
        <v>28</v>
      </c>
      <c r="C52" s="1292">
        <v>12</v>
      </c>
      <c r="D52" s="1292">
        <v>180254.54162358801</v>
      </c>
      <c r="E52" s="1292">
        <v>12</v>
      </c>
      <c r="F52" s="1292">
        <v>459345.66743122099</v>
      </c>
    </row>
    <row r="53" spans="1:6">
      <c r="A53" s="1291" t="s">
        <v>43</v>
      </c>
      <c r="B53" s="1291" t="s">
        <v>44</v>
      </c>
      <c r="C53" s="1292">
        <v>373</v>
      </c>
      <c r="D53" s="1292">
        <v>15127261.160771299</v>
      </c>
      <c r="E53" s="1292">
        <v>717</v>
      </c>
      <c r="F53" s="1292">
        <v>7792909.7484023301</v>
      </c>
    </row>
    <row r="54" spans="1:6">
      <c r="A54" s="1291" t="s">
        <v>45</v>
      </c>
      <c r="B54" s="1291" t="s">
        <v>46</v>
      </c>
      <c r="C54" s="1292">
        <v>0</v>
      </c>
      <c r="D54" s="1292">
        <v>0</v>
      </c>
      <c r="E54" s="1292">
        <v>1</v>
      </c>
      <c r="F54" s="1292">
        <v>2813322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68</v>
      </c>
      <c r="D57" s="1292">
        <v>4158422.4965427602</v>
      </c>
      <c r="E57" s="1292">
        <v>108</v>
      </c>
      <c r="F57" s="1292">
        <v>1886234.56823073</v>
      </c>
    </row>
    <row r="58" spans="1:6">
      <c r="A58" s="1291" t="s">
        <v>48</v>
      </c>
      <c r="B58" s="1291" t="s">
        <v>50</v>
      </c>
      <c r="C58" s="1292">
        <v>33</v>
      </c>
      <c r="D58" s="1292">
        <v>1859772.1226031601</v>
      </c>
      <c r="E58" s="1292">
        <v>59</v>
      </c>
      <c r="F58" s="1292">
        <v>2525928.6547240498</v>
      </c>
    </row>
    <row r="59" spans="1:6">
      <c r="A59" s="1291" t="s">
        <v>48</v>
      </c>
      <c r="B59" s="1291" t="s">
        <v>51</v>
      </c>
      <c r="C59" s="1292">
        <v>230</v>
      </c>
      <c r="D59" s="1292">
        <v>24602698.903916501</v>
      </c>
      <c r="E59" s="1292">
        <v>449</v>
      </c>
      <c r="F59" s="1292">
        <v>37667467.887380503</v>
      </c>
    </row>
    <row r="60" spans="1:6">
      <c r="A60" s="1291" t="s">
        <v>48</v>
      </c>
      <c r="B60" s="1291" t="s">
        <v>52</v>
      </c>
      <c r="C60" s="1292">
        <v>130</v>
      </c>
      <c r="D60" s="1292">
        <v>12660180.931996301</v>
      </c>
      <c r="E60" s="1292">
        <v>159</v>
      </c>
      <c r="F60" s="1292">
        <v>6922412.5847049104</v>
      </c>
    </row>
    <row r="61" spans="1:6">
      <c r="A61" s="1291" t="s">
        <v>48</v>
      </c>
      <c r="B61" s="1291" t="s">
        <v>53</v>
      </c>
      <c r="C61" s="1292">
        <v>545</v>
      </c>
      <c r="D61" s="1292">
        <v>68934647.373902798</v>
      </c>
      <c r="E61" s="1292">
        <v>1320</v>
      </c>
      <c r="F61" s="1292">
        <v>116168677.551469</v>
      </c>
    </row>
    <row r="62" spans="1:6">
      <c r="A62" s="1291" t="s">
        <v>48</v>
      </c>
      <c r="B62" s="1291" t="s">
        <v>54</v>
      </c>
      <c r="C62" s="1292">
        <v>6</v>
      </c>
      <c r="D62" s="1292">
        <v>1696148.82140101</v>
      </c>
      <c r="E62" s="1292">
        <v>9</v>
      </c>
      <c r="F62" s="1292">
        <v>344636.22432153998</v>
      </c>
    </row>
    <row r="63" spans="1:6">
      <c r="A63" s="1291" t="s">
        <v>48</v>
      </c>
      <c r="B63" s="1291" t="s">
        <v>28</v>
      </c>
      <c r="C63" s="1292">
        <v>233</v>
      </c>
      <c r="D63" s="1292">
        <v>17233473.907685701</v>
      </c>
      <c r="E63" s="1292">
        <v>231</v>
      </c>
      <c r="F63" s="1292">
        <v>22794357.661485199</v>
      </c>
    </row>
    <row r="64" spans="1:6">
      <c r="A64" s="1291" t="s">
        <v>55</v>
      </c>
      <c r="B64" s="1291" t="s">
        <v>56</v>
      </c>
      <c r="C64" s="1292">
        <v>0</v>
      </c>
      <c r="D64" s="1292">
        <v>0</v>
      </c>
      <c r="E64" s="1292">
        <v>0</v>
      </c>
      <c r="F64" s="1292">
        <v>0</v>
      </c>
    </row>
    <row r="65" spans="1:6">
      <c r="A65" s="1291" t="s">
        <v>55</v>
      </c>
      <c r="B65" s="1291" t="s">
        <v>28</v>
      </c>
      <c r="C65" s="1292">
        <v>7</v>
      </c>
      <c r="D65" s="1292">
        <v>1299382.4609399999</v>
      </c>
      <c r="E65" s="1292">
        <v>4</v>
      </c>
      <c r="F65" s="1292">
        <v>33289.128473298697</v>
      </c>
    </row>
    <row r="66" spans="1:6">
      <c r="A66" s="1291" t="s">
        <v>55</v>
      </c>
      <c r="B66" s="1291" t="s">
        <v>57</v>
      </c>
      <c r="C66" s="1292">
        <v>0</v>
      </c>
      <c r="D66" s="1292">
        <v>0</v>
      </c>
      <c r="E66" s="1292">
        <v>28</v>
      </c>
      <c r="F66" s="1292">
        <v>807613.21969645598</v>
      </c>
    </row>
    <row r="67" spans="1:6">
      <c r="A67" s="1293" t="s">
        <v>55</v>
      </c>
      <c r="B67" s="1293" t="s">
        <v>58</v>
      </c>
      <c r="C67" s="1292">
        <v>0</v>
      </c>
      <c r="D67" s="1292">
        <v>0</v>
      </c>
      <c r="E67" s="1292">
        <v>0</v>
      </c>
      <c r="F67" s="1292">
        <v>0</v>
      </c>
    </row>
    <row r="68" spans="1:6">
      <c r="A68" s="1286" t="s">
        <v>55</v>
      </c>
      <c r="B68" s="1286" t="s">
        <v>59</v>
      </c>
      <c r="C68" s="1295">
        <v>21</v>
      </c>
      <c r="D68" s="1295">
        <v>424865.97353820503</v>
      </c>
      <c r="E68" s="1295">
        <v>36</v>
      </c>
      <c r="F68" s="1295">
        <v>496290.95083984599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120112165</v>
      </c>
      <c r="E73" s="443"/>
      <c r="F73" s="324"/>
    </row>
    <row r="74" spans="1:6">
      <c r="A74" s="1291" t="s">
        <v>63</v>
      </c>
      <c r="B74" s="1291" t="s">
        <v>648</v>
      </c>
      <c r="C74" s="1305" t="s">
        <v>650</v>
      </c>
      <c r="D74" s="1306">
        <v>4809908</v>
      </c>
      <c r="E74" s="443"/>
      <c r="F74" s="324"/>
    </row>
    <row r="75" spans="1:6">
      <c r="A75" s="1291" t="s">
        <v>64</v>
      </c>
      <c r="B75" s="1291" t="s">
        <v>647</v>
      </c>
      <c r="C75" s="1305" t="s">
        <v>651</v>
      </c>
      <c r="D75" s="1306">
        <v>42304975</v>
      </c>
      <c r="E75" s="443"/>
      <c r="F75" s="324"/>
    </row>
    <row r="76" spans="1:6">
      <c r="A76" s="1291" t="s">
        <v>64</v>
      </c>
      <c r="B76" s="1291" t="s">
        <v>648</v>
      </c>
      <c r="C76" s="1305" t="s">
        <v>652</v>
      </c>
      <c r="D76" s="1306">
        <v>195125</v>
      </c>
      <c r="E76" s="443"/>
      <c r="F76" s="324"/>
    </row>
    <row r="77" spans="1:6">
      <c r="A77" s="1291" t="s">
        <v>65</v>
      </c>
      <c r="B77" s="1291" t="s">
        <v>647</v>
      </c>
      <c r="C77" s="1305" t="s">
        <v>653</v>
      </c>
      <c r="D77" s="1306">
        <v>484497754</v>
      </c>
      <c r="E77" s="443"/>
      <c r="F77" s="324"/>
    </row>
    <row r="78" spans="1:6">
      <c r="A78" s="1286" t="s">
        <v>65</v>
      </c>
      <c r="B78" s="1286" t="s">
        <v>648</v>
      </c>
      <c r="C78" s="1286" t="s">
        <v>654</v>
      </c>
      <c r="D78" s="1307">
        <v>41480207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2580050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1970.4707148360576</v>
      </c>
      <c r="C91" s="324"/>
      <c r="D91" s="324"/>
      <c r="E91" s="324"/>
      <c r="F91" s="324"/>
    </row>
    <row r="92" spans="1:6">
      <c r="A92" s="1286" t="s">
        <v>68</v>
      </c>
      <c r="B92" s="1287">
        <v>3514.3414128113277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7180</v>
      </c>
      <c r="C97" s="324"/>
      <c r="D97" s="324"/>
      <c r="E97" s="324"/>
      <c r="F97" s="324"/>
    </row>
    <row r="98" spans="1:6">
      <c r="A98" s="1291" t="s">
        <v>71</v>
      </c>
      <c r="B98" s="1292">
        <v>4</v>
      </c>
      <c r="C98" s="324"/>
      <c r="D98" s="324"/>
      <c r="E98" s="324"/>
      <c r="F98" s="324"/>
    </row>
    <row r="99" spans="1:6">
      <c r="A99" s="1291" t="s">
        <v>72</v>
      </c>
      <c r="B99" s="1292">
        <v>38</v>
      </c>
      <c r="C99" s="324"/>
      <c r="D99" s="324"/>
      <c r="E99" s="324"/>
      <c r="F99" s="324"/>
    </row>
    <row r="100" spans="1:6">
      <c r="A100" s="1291" t="s">
        <v>73</v>
      </c>
      <c r="B100" s="1292">
        <v>729</v>
      </c>
      <c r="C100" s="324"/>
      <c r="D100" s="324"/>
      <c r="E100" s="324"/>
      <c r="F100" s="324"/>
    </row>
    <row r="101" spans="1:6">
      <c r="A101" s="1291" t="s">
        <v>74</v>
      </c>
      <c r="B101" s="1292">
        <v>33</v>
      </c>
      <c r="C101" s="324"/>
      <c r="D101" s="324"/>
      <c r="E101" s="324"/>
      <c r="F101" s="324"/>
    </row>
    <row r="102" spans="1:6">
      <c r="A102" s="1291" t="s">
        <v>75</v>
      </c>
      <c r="B102" s="1292">
        <v>215</v>
      </c>
      <c r="C102" s="324"/>
      <c r="D102" s="324"/>
      <c r="E102" s="324"/>
      <c r="F102" s="324"/>
    </row>
    <row r="103" spans="1:6">
      <c r="A103" s="1291" t="s">
        <v>76</v>
      </c>
      <c r="B103" s="1292">
        <v>81</v>
      </c>
      <c r="C103" s="324"/>
      <c r="D103" s="324"/>
      <c r="E103" s="324"/>
      <c r="F103" s="324"/>
    </row>
    <row r="104" spans="1:6">
      <c r="A104" s="1291" t="s">
        <v>77</v>
      </c>
      <c r="B104" s="1292">
        <v>2411</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29</v>
      </c>
      <c r="C123" s="1292">
        <v>18</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61</v>
      </c>
      <c r="C129" s="324"/>
      <c r="D129" s="324"/>
      <c r="E129" s="324"/>
      <c r="F129" s="324"/>
    </row>
    <row r="130" spans="1:6">
      <c r="A130" s="1291" t="s">
        <v>289</v>
      </c>
      <c r="B130" s="1292">
        <v>1</v>
      </c>
      <c r="C130" s="324"/>
      <c r="D130" s="324"/>
      <c r="E130" s="324"/>
      <c r="F130" s="324"/>
    </row>
    <row r="131" spans="1:6">
      <c r="A131" s="1291" t="s">
        <v>290</v>
      </c>
      <c r="B131" s="1292">
        <v>3</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291438.19351156178</v>
      </c>
      <c r="C3" s="43" t="s">
        <v>169</v>
      </c>
      <c r="D3" s="43"/>
      <c r="E3" s="154"/>
      <c r="F3" s="43"/>
      <c r="G3" s="43"/>
      <c r="H3" s="43"/>
      <c r="I3" s="43"/>
      <c r="J3" s="43"/>
      <c r="K3" s="96"/>
    </row>
    <row r="4" spans="1:11">
      <c r="A4" s="352" t="s">
        <v>170</v>
      </c>
      <c r="B4" s="49">
        <f>IF(ISERROR('SEAP template'!B78+'SEAP template'!C78),0,'SEAP template'!B78+'SEAP template'!C78)</f>
        <v>6285.8121276473848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190.35529411764713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0.21688657488008733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271.93613445378156</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1144.2857142857142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2813.3220000000001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0.21688657488008733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610.17177261479708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B32*B41</f>
        <v>1938.0616699037246</v>
      </c>
      <c r="F5" s="17">
        <f>B36*B45</f>
        <v>49101.795317047392</v>
      </c>
      <c r="G5" s="18"/>
      <c r="H5" s="17"/>
      <c r="I5" s="17"/>
      <c r="J5" s="17">
        <f>B35*B44+C35*C44</f>
        <v>236.27233027616671</v>
      </c>
      <c r="K5" s="17"/>
      <c r="L5" s="17"/>
      <c r="M5" s="17"/>
      <c r="N5" s="17">
        <f>B34*B43+C34*C43</f>
        <v>18969.151264502845</v>
      </c>
      <c r="O5" s="17">
        <f>B52*B53*B54</f>
        <v>123.50333333333334</v>
      </c>
      <c r="P5" s="17">
        <f>B60*B61*B62/1000-B60*B61*B62/1000/B63</f>
        <v>743.6</v>
      </c>
    </row>
    <row r="6" spans="1:16">
      <c r="A6" s="16" t="s">
        <v>613</v>
      </c>
      <c r="B6" s="756">
        <f>kWh_PV_kleiner_dan_10kW</f>
        <v>1970.4707148360576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49039.791431493955</v>
      </c>
      <c r="C8" s="21">
        <f>C5</f>
        <v>0</v>
      </c>
      <c r="D8" s="21">
        <f>D5</f>
        <v>167193.13590494904</v>
      </c>
      <c r="E8" s="21">
        <f>E5</f>
        <v>1938.0616699037246</v>
      </c>
      <c r="F8" s="21">
        <f>F5</f>
        <v>49101.795317047392</v>
      </c>
      <c r="G8" s="21"/>
      <c r="H8" s="21"/>
      <c r="I8" s="21"/>
      <c r="J8" s="21">
        <f>J5</f>
        <v>236.27233027616671</v>
      </c>
      <c r="K8" s="21"/>
      <c r="L8" s="21">
        <f>L5</f>
        <v>0</v>
      </c>
      <c r="M8" s="21">
        <f>M5</f>
        <v>0</v>
      </c>
      <c r="N8" s="21">
        <f>N5</f>
        <v>18969.151264502845</v>
      </c>
      <c r="O8" s="21">
        <f>O5</f>
        <v>123.50333333333334</v>
      </c>
      <c r="P8" s="21">
        <f>P5</f>
        <v>743.6</v>
      </c>
    </row>
    <row r="9" spans="1:16">
      <c r="B9" s="19"/>
      <c r="C9" s="19"/>
      <c r="D9" s="254"/>
      <c r="E9" s="19"/>
      <c r="F9" s="19"/>
      <c r="G9" s="19"/>
      <c r="H9" s="19"/>
      <c r="I9" s="19"/>
      <c r="J9" s="19"/>
      <c r="K9" s="19"/>
      <c r="L9" s="19"/>
      <c r="M9" s="19"/>
      <c r="N9" s="19"/>
      <c r="O9" s="19"/>
      <c r="P9" s="19"/>
    </row>
    <row r="10" spans="1:16">
      <c r="A10" s="24" t="s">
        <v>213</v>
      </c>
      <c r="B10" s="25">
        <f ca="1">'EF ele_warmte'!B12</f>
        <v>0.21688657488008733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10636.072396410578</v>
      </c>
      <c r="C12" s="23">
        <f ca="1">C10*C8</f>
        <v>0</v>
      </c>
      <c r="D12" s="23">
        <f>D8*D10</f>
        <v>33773.013452799707</v>
      </c>
      <c r="E12" s="23">
        <f>E10*E8</f>
        <v>439.93999906814548</v>
      </c>
      <c r="F12" s="23">
        <f>F10*F8</f>
        <v>13110.179349651655</v>
      </c>
      <c r="G12" s="23"/>
      <c r="H12" s="23"/>
      <c r="I12" s="23"/>
      <c r="J12" s="23">
        <f>J10*J8</f>
        <v>83.640404917763007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13610</v>
      </c>
      <c r="C26" s="36"/>
      <c r="D26" s="225"/>
    </row>
    <row r="27" spans="1:5" s="15" customFormat="1">
      <c r="A27" s="227" t="s">
        <v>768</v>
      </c>
      <c r="B27" s="37">
        <f>SUM(HH_hh_gas_aantal,HH_rest_gas_aantal)</f>
        <v>10778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10239.1</v>
      </c>
      <c r="C31" s="34" t="s">
        <v>110</v>
      </c>
      <c r="D31" s="171"/>
    </row>
    <row r="32" spans="1:5">
      <c r="A32" s="168" t="s">
        <v>72</v>
      </c>
      <c r="B32" s="33">
        <f>IF((B21*($B$26-($B$27-0.05*$B$27)-$B$60))&lt;0,0,B21*($B$26-($B$27-0.05*$B$27)-$B$60))</f>
        <v>36.652546956131992</v>
      </c>
      <c r="C32" s="34" t="s">
        <v>110</v>
      </c>
      <c r="D32" s="171"/>
    </row>
    <row r="33" spans="1:6">
      <c r="A33" s="168" t="s">
        <v>73</v>
      </c>
      <c r="B33" s="33">
        <f>IF((B22*($B$26-($B$27-0.05*$B$27)-$B$60))&lt;0,0,B22*($B$26-($B$27-0.05*$B$27)-$B$60))</f>
        <v>762.03723090107644</v>
      </c>
      <c r="C33" s="34" t="s">
        <v>110</v>
      </c>
      <c r="D33" s="171"/>
    </row>
    <row r="34" spans="1:6">
      <c r="A34" s="168" t="s">
        <v>74</v>
      </c>
      <c r="B34" s="33">
        <f>IF((B24*($B$26-($B$27-0.05*$B$27)-$B$60))&lt;0,0,B24*($B$26-($B$27-0.05*$B$27)-$B$60))</f>
        <v>151.54211530049059</v>
      </c>
      <c r="C34" s="33">
        <f>B26*C24</f>
        <v>2785.906464509098</v>
      </c>
      <c r="D34" s="230"/>
    </row>
    <row r="35" spans="1:6">
      <c r="A35" s="168" t="s">
        <v>76</v>
      </c>
      <c r="B35" s="33">
        <f>IF((B19*($B$26-($B$27-0.05*$B$27)-$B$60))&lt;0,0,B19*($B$26-($B$27-0.05*$B$27)-$B$60))</f>
        <v>27.742025776822068</v>
      </c>
      <c r="C35" s="33">
        <f>B35/2</f>
        <v>13.871012888411034</v>
      </c>
      <c r="D35" s="230"/>
    </row>
    <row r="36" spans="1:6">
      <c r="A36" s="168" t="s">
        <v>77</v>
      </c>
      <c r="B36" s="33">
        <f>IF((B18*($B$26-($B$27-0.05*$B$27)-$B$60))&lt;0,0,B18*($B$26-($B$27-0.05*$B$27)-$B$60))</f>
        <v>2353.9260810654787</v>
      </c>
      <c r="C36" s="34" t="s">
        <v>110</v>
      </c>
      <c r="D36" s="171"/>
    </row>
    <row r="37" spans="1:6">
      <c r="A37" s="168" t="s">
        <v>78</v>
      </c>
      <c r="B37" s="33">
        <f>B60</f>
        <v>39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53</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52</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51</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50</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49</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54</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254</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480</v>
      </c>
      <c r="B13" s="243">
        <f ca="1">'lokale energieproductie'!N38+'lokale energieproductie'!N31</f>
        <v>801</v>
      </c>
      <c r="C13" s="243">
        <f ca="1">'lokale energieproductie'!O38+'lokale energieproductie'!O31</f>
        <v>1144.2857142857142</v>
      </c>
      <c r="D13" s="302">
        <f ca="1">('lokale energieproductie'!P31+'lokale energieproductie'!P38)*(-1)</f>
        <v>-2288.5714285714289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0.21688657488008733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41015.575278171906</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116168.67755146899</v>
      </c>
      <c r="C26" s="39">
        <f>IF(ISERROR(B26*3.6/1000000/'E Balans VL '!Z12*100),0,B26*3.6/1000000/'E Balans VL '!Z12*100)</f>
        <v>2.4556218173880962</v>
      </c>
      <c r="D26" s="233" t="s">
        <v>732</v>
      </c>
      <c r="F26" s="6"/>
    </row>
    <row r="27" spans="1:18">
      <c r="A27" s="228" t="s">
        <v>52</v>
      </c>
      <c r="B27" s="33">
        <f>IF(ISERROR(TER_horeca_ele_kWh/1000),0,TER_horeca_ele_kWh/1000)</f>
        <v>6922.4125847049108</v>
      </c>
      <c r="C27" s="39">
        <f>IF(ISERROR(B27*3.6/1000000/'E Balans VL '!Z9*100),0,B27*3.6/1000000/'E Balans VL '!Z9*100)</f>
        <v>0.54569120393739823</v>
      </c>
      <c r="D27" s="233" t="s">
        <v>732</v>
      </c>
      <c r="F27" s="6"/>
    </row>
    <row r="28" spans="1:18">
      <c r="A28" s="168" t="s">
        <v>51</v>
      </c>
      <c r="B28" s="33">
        <f>IF(ISERROR(TER_handel_ele_kWh/1000),0,TER_handel_ele_kWh/1000)</f>
        <v>37667.467887380502</v>
      </c>
      <c r="C28" s="39">
        <f>IF(ISERROR(B28*3.6/1000000/'E Balans VL '!Z13*100),0,B28*3.6/1000000/'E Balans VL '!Z13*100)</f>
        <v>1.093262111716272</v>
      </c>
      <c r="D28" s="233" t="s">
        <v>732</v>
      </c>
      <c r="F28" s="6"/>
    </row>
    <row r="29" spans="1:18">
      <c r="A29" s="228" t="s">
        <v>50</v>
      </c>
      <c r="B29" s="33">
        <f>IF(ISERROR(TER_gezond_ele_kWh/1000),0,TER_gezond_ele_kWh/1000)</f>
        <v>2525.9286547240499</v>
      </c>
      <c r="C29" s="39">
        <f>IF(ISERROR(B29*3.6/1000000/'E Balans VL '!Z10*100),0,B29*3.6/1000000/'E Balans VL '!Z10*100)</f>
        <v>0.26602176418578138</v>
      </c>
      <c r="D29" s="233" t="s">
        <v>732</v>
      </c>
      <c r="F29" s="6"/>
    </row>
    <row r="30" spans="1:18">
      <c r="A30" s="228" t="s">
        <v>49</v>
      </c>
      <c r="B30" s="33">
        <f>IF(ISERROR(TER_ander_ele_kWh/1000),0,TER_ander_ele_kWh/1000)</f>
        <v>1886.23456823073</v>
      </c>
      <c r="C30" s="39">
        <f>IF(ISERROR(B30*3.6/1000000/'E Balans VL '!Z14*100),0,B30*3.6/1000000/'E Balans VL '!Z14*100)</f>
        <v>0.13912907144080894</v>
      </c>
      <c r="D30" s="233" t="s">
        <v>732</v>
      </c>
      <c r="F30" s="6"/>
    </row>
    <row r="31" spans="1:18">
      <c r="A31" s="228" t="s">
        <v>54</v>
      </c>
      <c r="B31" s="33">
        <f>IF(ISERROR(TER_onderwijs_ele_kWh/1000),0,TER_onderwijs_ele_kWh/1000)</f>
        <v>344.63622432154</v>
      </c>
      <c r="C31" s="39">
        <f>IF(ISERROR(B31*3.6/1000000/'E Balans VL '!Z11*100),0,B31*3.6/1000000/'E Balans VL '!Z11*100)</f>
        <v>8.5589318210522014E-2</v>
      </c>
      <c r="D31" s="233" t="s">
        <v>732</v>
      </c>
    </row>
    <row r="32" spans="1:18">
      <c r="A32" s="228" t="s">
        <v>254</v>
      </c>
      <c r="B32" s="33">
        <f>IF(ISERROR(TER_rest_ele_kWh/1000),0,TER_rest_ele_kWh/1000)</f>
        <v>22794.357661485199</v>
      </c>
      <c r="C32" s="39">
        <f>IF(ISERROR(B32*3.6/1000000/'E Balans VL '!Z8*100),0,B32*3.6/1000000/'E Balans VL '!Z8*100)</f>
        <v>0.18756730711987391</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1190.8955331651132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32</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207.10007611307768</v>
      </c>
      <c r="O9" s="33"/>
      <c r="P9" s="33"/>
      <c r="R9" s="32"/>
    </row>
    <row r="10" spans="1:18">
      <c r="A10" s="6" t="s">
        <v>40</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131.08261233887342</v>
      </c>
      <c r="O13" s="33"/>
      <c r="P13" s="33"/>
      <c r="R13" s="32"/>
    </row>
    <row r="14" spans="1:18">
      <c r="A14" s="6" t="s">
        <v>33</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264</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286.09725069184952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1190.8955331651132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0.21688657488008733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9045.1352489502297</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32793.346574337898</v>
      </c>
      <c r="C30" s="39">
        <f>IF(ISERROR(B30*3.6/1000000/'E Balans VL '!Z18*100),0,B30*3.6/1000000/'E Balans VL '!Z18*100)</f>
        <v>1.8584830380080841</v>
      </c>
      <c r="D30" s="233" t="s">
        <v>732</v>
      </c>
    </row>
    <row r="31" spans="1:18">
      <c r="A31" s="6" t="s">
        <v>32</v>
      </c>
      <c r="B31" s="37">
        <f>IF( ISERROR(IND_ander_ele_kWh/1000),0,IND_ander_ele_kWh/1000)</f>
        <v>2640.2812603377602</v>
      </c>
      <c r="C31" s="39">
        <f>IF(ISERROR(B31*3.6/1000000/'E Balans VL '!Z19*100),0,B31*3.6/1000000/'E Balans VL '!Z19*100)</f>
        <v>0.11975216402909891</v>
      </c>
      <c r="D31" s="233" t="s">
        <v>732</v>
      </c>
    </row>
    <row r="32" spans="1:18">
      <c r="A32" s="168" t="s">
        <v>40</v>
      </c>
      <c r="B32" s="37">
        <f>IF( ISERROR(IND_voed_ele_kWh/1000),0,IND_voed_ele_kWh/1000)</f>
        <v>1219.18043592862</v>
      </c>
      <c r="C32" s="39">
        <f>IF(ISERROR(B32*3.6/1000000/'E Balans VL '!Z20*100),0,B32*3.6/1000000/'E Balans VL '!Z20*100)</f>
        <v>3.7714785495133643E-2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320.82051865988899</v>
      </c>
      <c r="C35" s="39">
        <f>IF(ISERROR(B35*3.6/1000000/'E Balans VL '!Z22*100),0,B35*3.6/1000000/'E Balans VL '!Z22*100)</f>
        <v>5.7705601822010233E-2</v>
      </c>
      <c r="D35" s="233" t="s">
        <v>732</v>
      </c>
    </row>
    <row r="36" spans="1:5">
      <c r="A36" s="168" t="s">
        <v>33</v>
      </c>
      <c r="B36" s="37">
        <f>IF( ISERROR(IND_chemie_ele_kWh/1000),0,IND_chemie_ele_kWh/1000)</f>
        <v>655.04763122046302</v>
      </c>
      <c r="C36" s="39">
        <f>IF(ISERROR(B36*3.6/1000000/'E Balans VL '!Z24*100),0,B36*3.6/1000000/'E Balans VL '!Z24*100)</f>
        <v>1.997503875606127E-2</v>
      </c>
      <c r="D36" s="233" t="s">
        <v>732</v>
      </c>
    </row>
    <row r="37" spans="1:5">
      <c r="A37" s="168" t="s">
        <v>264</v>
      </c>
      <c r="B37" s="37">
        <f>IF( ISERROR(IND_rest_ele_kWh/1000),0,IND_rest_ele_kWh/1000)</f>
        <v>4075.7732622637</v>
      </c>
      <c r="C37" s="39">
        <f>IF(ISERROR(B37*3.6/1000000/'E Balans VL '!Z15*100),0,B37*3.6/1000000/'E Balans VL '!Z15*100)</f>
        <v>3.2305508629055457E-2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501.34754164650082</v>
      </c>
      <c r="C5" s="17">
        <f>'Eigen informatie GS &amp; warmtenet'!B60</f>
        <v>0</v>
      </c>
      <c r="D5" s="30">
        <f>IF(ISERROR(SUM(LB_lb_gas_kWh,LB_rest_gas_kWh)/1000),0,SUM(LB_lb_gas_kWh,LB_rest_gas_kWh)/1000)*0.902</f>
        <v>162.58959654447639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501.34754164650082</v>
      </c>
      <c r="C8" s="21">
        <f>C5+C6</f>
        <v>0</v>
      </c>
      <c r="D8" s="21">
        <f>MAX((D5+D6),0)</f>
        <v>162.58959654447639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0.21688657488008733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108.73555113226151</v>
      </c>
      <c r="C12" s="23">
        <f ca="1">C8*C10</f>
        <v>0</v>
      </c>
      <c r="D12" s="23">
        <f>D8*D10</f>
        <v>32.843098501984237</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7.114278908958091E-2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1.2466267807709337</v>
      </c>
      <c r="C26" s="243">
        <f>B26*'GWP N2O_CH4'!B5</f>
        <v>26.179162396189607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9.4573315688224899E-2</v>
      </c>
      <c r="C27" s="243">
        <f>B27*'GWP N2O_CH4'!B5</f>
        <v>1.9860396294527229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3">
        <f>B28*'GWP N2O_CH4'!B4</f>
        <v>4.8707606954474381</v>
      </c>
      <c r="D28" s="50"/>
    </row>
    <row r="29" spans="1:4">
      <c r="A29" s="41" t="s">
        <v>271</v>
      </c>
      <c r="B29" s="243">
        <f>B34*'ha_N2O bodem landbouw'!B4</f>
        <v>4.6997176797148059</v>
      </c>
      <c r="C29" s="243">
        <f>B29*'GWP N2O_CH4'!B4</f>
        <v>1456.9124807115898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1.072459378563284E-3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1.3720648455047342E-3</v>
      </c>
      <c r="C5" s="431" t="s">
        <v>210</v>
      </c>
      <c r="D5" s="416">
        <f>SUM(D6:D11)</f>
        <v>1.9968434256003448E-3</v>
      </c>
      <c r="E5" s="416">
        <f>SUM(E6:E11)</f>
        <v>4.0438862818901406E-3</v>
      </c>
      <c r="F5" s="429" t="s">
        <v>210</v>
      </c>
      <c r="G5" s="416">
        <f>SUM(G6:G11)</f>
        <v>1.533939678905766</v>
      </c>
      <c r="H5" s="416">
        <f>SUM(H6:H11)</f>
        <v>0.33192838540297959</v>
      </c>
      <c r="I5" s="431" t="s">
        <v>210</v>
      </c>
      <c r="J5" s="431" t="s">
        <v>210</v>
      </c>
      <c r="K5" s="431" t="s">
        <v>210</v>
      </c>
      <c r="L5" s="431" t="s">
        <v>210</v>
      </c>
      <c r="M5" s="416">
        <f>SUM(M6:M11)</f>
        <v>9.9393172754798684E-2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2.1068227867298244E-4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3.5419395878173216E-4</v>
      </c>
      <c r="E6" s="859">
        <f>vkm_GW_PW*SUMIFS(TableVerdeelsleutelVkm[LPG],TableVerdeelsleutelVkm[Voertuigtype],"Lichte voertuigen")*SUMIFS(TableECFTransport[EnergieConsumptieFactor (PJ per km)],TableECFTransport[Index],CONCATENATE($A6,"_LPG_LPG"))</f>
        <v>6.2320730478512484E-4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0.18490380292705672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5.7224852100638039E-2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1.2487832951047783E-2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1.4068279951376336E-6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4.5187904105938093E-2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7.3726716811530483E-7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2.6401278737212827E-3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9.8130407467542574E-5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2.1153358737545608E-4</v>
      </c>
      <c r="E8" s="419">
        <f>vkm_NGW_PW*SUMIFS(TableVerdeelsleutelVkm[LPG],TableVerdeelsleutelVkm[Voertuigtype],"Lichte voertuigen")*SUMIFS(TableECFTransport[EnergieConsumptieFactor (PJ per km)],TableECFTransport[Index],CONCATENATE($A8,"_LPG_LPG"))</f>
        <v>3.5641017175110291E-4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9.8336882099825954E-2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3.3473445290458682E-2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6.7308651775668986E-3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5.7071218940410229E-8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2.3520546666068866E-3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3.6100854947346523E-8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1.3742000614782644E-4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1.0496559040943181E-3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1.4311158794431563E-3</v>
      </c>
      <c r="E10" s="419">
        <f>vkm_SW_PW*SUMIFS(TableVerdeelsleutelVkm[LPG],TableVerdeelsleutelVkm[Voertuigtype],"Lichte voertuigen")*SUMIFS(TableECFTransport[EnergieConsumptieFactor (PJ per km)],TableECFTransport[Index],CONCATENATE($A10,"_LPG_LPG"))</f>
        <v>3.0642688053539131E-3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0.83197968526793509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0.24122277039992571</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5.5710556984167089E-2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1.2132356055813133E-5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0.37117934983840334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6.5442439340697636E-6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2.1686369762147797E-2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381.12912375131503</v>
      </c>
      <c r="C14" s="21"/>
      <c r="D14" s="21">
        <f t="shared" ref="D14:M14" si="0">((D5)*10^9/3600)+D12</f>
        <v>554.67872933342915</v>
      </c>
      <c r="E14" s="21">
        <f t="shared" si="0"/>
        <v>1123.3017449694835</v>
      </c>
      <c r="F14" s="21"/>
      <c r="G14" s="21">
        <f t="shared" si="0"/>
        <v>426094.35525160166</v>
      </c>
      <c r="H14" s="21">
        <f t="shared" si="0"/>
        <v>92202.329278605452</v>
      </c>
      <c r="I14" s="21"/>
      <c r="J14" s="21"/>
      <c r="K14" s="21"/>
      <c r="L14" s="21"/>
      <c r="M14" s="21">
        <f t="shared" si="0"/>
        <v>27609.214654110743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0.21688657488008733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82.661790237471664</v>
      </c>
      <c r="C18" s="23"/>
      <c r="D18" s="23">
        <f t="shared" ref="D18:M18" si="1">D14*D16</f>
        <v>112.0451033253527</v>
      </c>
      <c r="E18" s="23">
        <f t="shared" si="1"/>
        <v>254.98949610807276</v>
      </c>
      <c r="F18" s="23"/>
      <c r="G18" s="23">
        <f t="shared" si="1"/>
        <v>113767.19285217766</v>
      </c>
      <c r="H18" s="23">
        <f t="shared" si="1"/>
        <v>22958.379990372756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3.4030386433255206E-4</v>
      </c>
      <c r="C50" s="313">
        <f t="shared" ref="C50:P50" si="2">SUM(C51:C52)</f>
        <v>0</v>
      </c>
      <c r="D50" s="313">
        <f t="shared" si="2"/>
        <v>0</v>
      </c>
      <c r="E50" s="313">
        <f t="shared" si="2"/>
        <v>0</v>
      </c>
      <c r="F50" s="313">
        <f t="shared" si="2"/>
        <v>0</v>
      </c>
      <c r="G50" s="313">
        <f t="shared" si="2"/>
        <v>3.1968170233222785E-2</v>
      </c>
      <c r="H50" s="313">
        <f t="shared" si="2"/>
        <v>0</v>
      </c>
      <c r="I50" s="313">
        <f t="shared" si="2"/>
        <v>0</v>
      </c>
      <c r="J50" s="313">
        <f t="shared" si="2"/>
        <v>0</v>
      </c>
      <c r="K50" s="313">
        <f t="shared" si="2"/>
        <v>0</v>
      </c>
      <c r="L50" s="313">
        <f t="shared" si="2"/>
        <v>0</v>
      </c>
      <c r="M50" s="313">
        <f t="shared" si="2"/>
        <v>1.8409509387878539E-3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3.4030386433255206E-4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3.1968170233222785E-2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1.8409509387878539E-3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94.528851203486681</v>
      </c>
      <c r="C54" s="21">
        <f t="shared" ref="C54:P54" si="3">(C50)*10^9/3600</f>
        <v>0</v>
      </c>
      <c r="D54" s="21">
        <f t="shared" si="3"/>
        <v>0</v>
      </c>
      <c r="E54" s="21">
        <f t="shared" si="3"/>
        <v>0</v>
      </c>
      <c r="F54" s="21">
        <f t="shared" si="3"/>
        <v>0</v>
      </c>
      <c r="G54" s="21">
        <f t="shared" si="3"/>
        <v>8880.0472870063295</v>
      </c>
      <c r="H54" s="21">
        <f t="shared" si="3"/>
        <v>0</v>
      </c>
      <c r="I54" s="21">
        <f t="shared" si="3"/>
        <v>0</v>
      </c>
      <c r="J54" s="21">
        <f t="shared" si="3"/>
        <v>0</v>
      </c>
      <c r="K54" s="21">
        <f t="shared" si="3"/>
        <v>0</v>
      </c>
      <c r="L54" s="21">
        <f t="shared" si="3"/>
        <v>0</v>
      </c>
      <c r="M54" s="21">
        <f t="shared" si="3"/>
        <v>511.3752607744039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0.21688657488008733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20.50203876487365</v>
      </c>
      <c r="C58" s="23">
        <f t="shared" ref="C58:P58" ca="1" si="4">C54*C56</f>
        <v>0</v>
      </c>
      <c r="D58" s="23">
        <f t="shared" si="4"/>
        <v>0</v>
      </c>
      <c r="E58" s="23">
        <f t="shared" si="4"/>
        <v>0</v>
      </c>
      <c r="F58" s="23">
        <f t="shared" si="4"/>
        <v>0</v>
      </c>
      <c r="G58" s="23">
        <f t="shared" si="4"/>
        <v>2370.9726256306899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5484.8121276473848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801</v>
      </c>
      <c r="C8" s="538">
        <f>B48</f>
        <v>942.35294117647084</v>
      </c>
      <c r="D8" s="1004"/>
      <c r="E8" s="1004">
        <f>E48</f>
        <v>0</v>
      </c>
      <c r="F8" s="1005"/>
      <c r="G8" s="539"/>
      <c r="H8" s="1004">
        <f>I48</f>
        <v>0</v>
      </c>
      <c r="I8" s="1004">
        <f>G48+F48</f>
        <v>0</v>
      </c>
      <c r="J8" s="1004">
        <f>H48+D48+C48</f>
        <v>0</v>
      </c>
      <c r="K8" s="1004"/>
      <c r="L8" s="1004"/>
      <c r="M8" s="1004"/>
      <c r="N8" s="540"/>
      <c r="O8" s="541">
        <f>C8*$C$12+D8*$D$12+E8*$E$12+F8*$F$12+G8*$G$12+H8*$H$12+I8*$I$12+J8*$J$12</f>
        <v>190.35529411764713</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6285.8121276473848</v>
      </c>
      <c r="C10" s="551">
        <f t="shared" ref="C10:L10" si="0">SUM(C8:C9)</f>
        <v>942.35294117647084</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190.35529411764713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1144.2857142857142</v>
      </c>
      <c r="C17" s="563">
        <f>B49</f>
        <v>1346.2184873949582</v>
      </c>
      <c r="D17" s="564"/>
      <c r="E17" s="564">
        <f>E49</f>
        <v>0</v>
      </c>
      <c r="F17" s="1010"/>
      <c r="G17" s="565"/>
      <c r="H17" s="563">
        <f>I49</f>
        <v>0</v>
      </c>
      <c r="I17" s="564">
        <f>G49+F49</f>
        <v>0</v>
      </c>
      <c r="J17" s="564">
        <f>H49+D49+C49</f>
        <v>0</v>
      </c>
      <c r="K17" s="564"/>
      <c r="L17" s="564"/>
      <c r="M17" s="564"/>
      <c r="N17" s="1011"/>
      <c r="O17" s="566">
        <f>C17*$C$22+E17*$E$22+H17*$H$22+I17*$I$22+J17*$J$22+D17*$D$22+F17*$F$22+G17*$G$22+K17*$K$22+L17*$L$22</f>
        <v>271.93613445378156</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1144.2857142857142</v>
      </c>
      <c r="C20" s="550">
        <f>SUM(C17:C19)</f>
        <v>1346.2184873949582</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271.93613445378156</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23094</v>
      </c>
      <c r="C28" s="764">
        <v>1932</v>
      </c>
      <c r="D28" s="621" t="s">
        <v>902</v>
      </c>
      <c r="E28" s="620" t="s">
        <v>903</v>
      </c>
      <c r="F28" s="620" t="s">
        <v>904</v>
      </c>
      <c r="G28" s="620" t="s">
        <v>905</v>
      </c>
      <c r="H28" s="620" t="s">
        <v>906</v>
      </c>
      <c r="I28" s="620" t="s">
        <v>907</v>
      </c>
      <c r="J28" s="763">
        <v>40584</v>
      </c>
      <c r="K28" s="763">
        <v>40756</v>
      </c>
      <c r="L28" s="620" t="s">
        <v>908</v>
      </c>
      <c r="M28" s="620">
        <v>178</v>
      </c>
      <c r="N28" s="620">
        <v>801</v>
      </c>
      <c r="O28" s="620">
        <v>1144.2857142857142</v>
      </c>
      <c r="P28" s="620">
        <v>2288.5714285714289</v>
      </c>
      <c r="Q28" s="620">
        <v>0</v>
      </c>
      <c r="R28" s="620">
        <v>0</v>
      </c>
      <c r="S28" s="620">
        <v>0</v>
      </c>
      <c r="T28" s="620">
        <v>0</v>
      </c>
      <c r="U28" s="620">
        <v>0</v>
      </c>
      <c r="V28" s="620">
        <v>0</v>
      </c>
      <c r="W28" s="620">
        <v>0</v>
      </c>
      <c r="X28" s="620">
        <v>1100</v>
      </c>
      <c r="Y28" s="620" t="s">
        <v>51</v>
      </c>
      <c r="Z28" s="622" t="s">
        <v>155</v>
      </c>
    </row>
    <row r="29" spans="1:26" s="558" customFormat="1">
      <c r="A29" s="576" t="s">
        <v>274</v>
      </c>
      <c r="B29" s="577"/>
      <c r="C29" s="577"/>
      <c r="D29" s="577"/>
      <c r="E29" s="577"/>
      <c r="F29" s="577"/>
      <c r="G29" s="577"/>
      <c r="H29" s="577"/>
      <c r="I29" s="577"/>
      <c r="J29" s="577"/>
      <c r="K29" s="577"/>
      <c r="L29" s="578"/>
      <c r="M29" s="578">
        <f>SUM(M28:M28)</f>
        <v>178</v>
      </c>
      <c r="N29" s="578">
        <f>SUM(N28:N28)</f>
        <v>801</v>
      </c>
      <c r="O29" s="578">
        <f>SUM(O28:O28)</f>
        <v>1144.2857142857142</v>
      </c>
      <c r="P29" s="578">
        <f>SUM(P28:P28)</f>
        <v>2288.5714285714289</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178</v>
      </c>
      <c r="N31" s="578">
        <f ca="1">SUMIF($Z$28:AD28,"tertiair",N28:N28)</f>
        <v>801</v>
      </c>
      <c r="O31" s="578">
        <f ca="1">SUMIF($Z$28:AE28,"tertiair",O28:O28)</f>
        <v>1144.2857142857142</v>
      </c>
      <c r="P31" s="578">
        <f ca="1">SUMIF($Z$28:AF28,"tertiair",P28:P28)</f>
        <v>2288.5714285714289</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942.35294117647084</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1346.2184873949582</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2021-06-29T15:38:34Z</dcterms:modified>
</cp:coreProperties>
</file>