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<sst xmlns="http://schemas.openxmlformats.org/spreadsheetml/2006/main" count="2485" uniqueCount="908">
  <si>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</si>
  <si>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</si>
  <si>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</si>
  <si>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</si>
  <si>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</si>
  <si>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</si>
  <si>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</si>
  <si>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</si>
  <si>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</si>
  <si>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</si>
  <si>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</si>
  <si>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</si>
  <si>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</si>
  <si>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</si>
  <si>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</si>
  <si>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</si>
  <si>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</si>
  <si>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</si>
  <si>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</si>
  <si>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</si>
  <si>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</si>
  <si>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</si>
  <si>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</si>
  <si>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</si>
  <si>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</si>
  <si>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</si>
  <si>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</si>
  <si>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</si>
  <si>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</si>
  <si>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</si>
  <si>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</si>
  <si>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</si>
  <si>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</si>
  <si>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</si>
  <si>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</si>
  <si>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</si>
  <si>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</si>
  <si>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</si>
  <si>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</si>
  <si>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</si>
  <si>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</si>
  <si>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</si>
  <si>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</si>
  <si>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</si>
  <si>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</si>
  <si>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</si>
  <si>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</si>
  <si>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</si>
  <si>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</si>
  <si>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</si>
  <si>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</si>
  <si>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</si>
  <si>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</si>
  <si>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</si>
  <si>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</si>
  <si>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</si>
  <si>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</si>
  <si>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</si>
  <si>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</si>
  <si>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</si>
  <si>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</si>
  <si>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</si>
  <si>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</si>
  <si>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</si>
  <si>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</si>
  <si>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</si>
  <si>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</si>
  <si>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</si>
  <si>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</si>
  <si>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</si>
  <si>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</si>
  <si>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</si>
  <si>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</si>
  <si>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</si>
  <si>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</si>
  <si>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</si>
  <si>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</si>
  <si>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</si>
  <si>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</si>
  <si>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</si>
  <si>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</si>
  <si>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</si>
  <si>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</si>
  <si>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</si>
  <si>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</si>
  <si>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</si>
  <si>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</si>
  <si>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</si>
  <si>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</si>
  <si>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</si>
  <si>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</si>
  <si>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</si>
  <si>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</si>
  <si>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</si>
  <si>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</si>
  <si>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</si>
  <si>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</si>
  <si>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</si>
  <si>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</si>
  <si>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</si>
  <si>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</si>
  <si>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</si>
  <si>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</si>
  <si>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</si>
  <si>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</si>
  <si>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</si>
  <si>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</si>
  <si>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</si>
  <si>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</si>
  <si>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</si>
  <si>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</si>
  <si>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</si>
  <si>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</si>
  <si>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</si>
  <si>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</si>
  <si>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</si>
  <si>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</si>
  <si>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</si>
  <si>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</si>
  <si>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</si>
  <si>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</si>
  <si>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</si>
  <si>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</si>
  <si>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</si>
  <si>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</si>
  <si>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</si>
  <si>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</si>
  <si>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</si>
  <si>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</si>
  <si>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</si>
  <si>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</si>
  <si>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</si>
  <si>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</si>
  <si>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</si>
  <si>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</si>
  <si>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</si>
  <si>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</si>
  <si>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</si>
  <si>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</si>
  <si>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</si>
  <si>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</si>
  <si>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</si>
  <si>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</si>
  <si>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</si>
  <si>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</si>
  <si>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</si>
  <si>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</si>
  <si>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</si>
  <si>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</si>
  <si>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</si>
  <si>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</si>
  <si>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</si>
  <si>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</si>
  <si>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</si>
  <si>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</si>
  <si>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</si>
  <si>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</si>
  <si>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</si>
  <si>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</si>
  <si>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</si>
  <si>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</si>
  <si>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</si>
  <si>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</si>
  <si>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</si>
  <si>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</si>
  <si>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</si>
  <si>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</si>
  <si>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</si>
  <si>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</si>
  <si>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</si>
  <si>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</si>
  <si>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</si>
  <si>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</si>
  <si>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</si>
  <si>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</si>
  <si>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</si>
  <si>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</si>
  <si>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</si>
  <si>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</si>
  <si>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</si>
  <si>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</si>
  <si>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</si>
  <si>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</si>
  <si>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</si>
  <si>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</si>
  <si>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</si>
  <si>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</si>
  <si>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</si>
  <si>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</si>
  <si>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</si>
  <si>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</si>
  <si>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</si>
  <si>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</si>
  <si>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</si>
  <si>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</si>
  <si>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</si>
  <si>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</si>
  <si>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</si>
  <si>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</si>
  <si>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</si>
  <si>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</si>
  <si>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</si>
  <si>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</si>
  <si>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</si>
  <si>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</si>
  <si>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</si>
  <si>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</si>
  <si>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</si>
  <si>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</si>
  <si>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</si>
  <si>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</si>
  <si>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</si>
  <si>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</si>
  <si>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</si>
  <si>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</si>
  <si>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</si>
  <si>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</si>
  <si>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</si>
  <si>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</si>
  <si>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</si>
  <si>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</si>
  <si>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</si>
  <si>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</si>
  <si>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</si>
  <si>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</si>
  <si>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</si>
  <si>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</si>
  <si>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</si>
  <si>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</si>
  <si>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</si>
  <si>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</si>
  <si>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</si>
  <si>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</si>
  <si>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</si>
  <si>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</si>
  <si>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</si>
  <si>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</si>
  <si>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</si>
  <si>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</si>
  <si>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</si>
  <si>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</si>
  <si>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</si>
  <si>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</si>
  <si>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</si>
  <si>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</si>
  <si>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</si>
  <si>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</si>
  <si>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</si>
  <si>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</si>
  <si>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</si>
  <si>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</si>
  <si>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</si>
  <si>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</si>
  <si>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</si>
  <si>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</si>
  <si>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</si>
  <si>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</si>
  <si>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</si>
  <si>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</si>
  <si>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</si>
  <si>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</si>
  <si>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</si>
  <si>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</si>
  <si>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</si>
  <si>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</si>
  <si>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</si>
  <si>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</si>
  <si>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</si>
  <si>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</si>
  <si>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</si>
  <si>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</si>
  <si>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</si>
  <si>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</si>
  <si>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</si>
  <si>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</si>
  <si>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</si>
  <si>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</si>
  <si>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</si>
  <si>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</si>
  <si>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</si>
  <si>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</si>
  <si>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</si>
  <si>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</si>
  <si>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</si>
  <si>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</si>
  <si>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</si>
  <si>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</si>
  <si>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</si>
  <si>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</si>
  <si>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</si>
  <si>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</si>
  <si>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</si>
  <si>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</si>
  <si>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</si>
  <si>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</si>
  <si>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</si>
  <si>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</si>
  <si>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</si>
  <si>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</si>
  <si>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</si>
  <si>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</si>
  <si>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</si>
  <si>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</si>
  <si>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</si>
  <si>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</si>
  <si>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</si>
  <si>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</si>
  <si>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</si>
  <si>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</si>
  <si>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</si>
  <si>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</si>
  <si>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</si>
  <si>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</si>
  <si>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</si>
  <si>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</si>
  <si>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</si>
  <si>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</si>
  <si>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</si>
  <si>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</si>
  <si>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</si>
  <si>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</si>
  <si>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</si>
  <si>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</si>
  <si>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</si>
  <si>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</si>
  <si>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</si>
  <si>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</si>
  <si>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</si>
  <si>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</si>
  <si>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</si>
  <si>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</si>
  <si>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</si>
  <si>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</si>
  <si>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</si>
  <si>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</si>
  <si>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</si>
  <si>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</si>
  <si>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</si>
  <si>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</si>
  <si>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</si>
  <si>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</si>
  <si>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</si>
  <si>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</si>
  <si>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</si>
  <si>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</si>
  <si>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</si>
  <si>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</si>
  <si>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</si>
  <si>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</si>
  <si>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</si>
  <si>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</si>
  <si>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</si>
  <si>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</si>
  <si>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</si>
  <si>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</si>
  <si>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</si>
  <si>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</si>
  <si>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</si>
  <si>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</si>
  <si>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</si>
  <si>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</si>
  <si>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</si>
  <si>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</si>
  <si>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</si>
  <si>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</si>
  <si>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</si>
  <si>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</si>
  <si>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</si>
  <si>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</si>
  <si>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</si>
  <si>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</si>
  <si>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</si>
  <si>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</si>
  <si>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</si>
  <si>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</si>
  <si>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</si>
  <si>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</si>
  <si>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</si>
  <si>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</si>
  <si>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</si>
  <si>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</si>
  <si>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</si>
  <si>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</si>
  <si>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</si>
  <si>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</si>
  <si>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</si>
  <si>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</si>
  <si>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</si>
  <si>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</si>
  <si>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</si>
  <si>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</si>
  <si>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</si>
  <si>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</si>
  <si>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</si>
  <si>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</si>
  <si>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</si>
  <si>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</si>
  <si>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</si>
  <si>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</si>
  <si>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</si>
  <si>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</si>
  <si>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</si>
  <si>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</si>
  <si>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</si>
  <si>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</si>
  <si>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</si>
  <si>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</si>
  <si>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</si>
  <si>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</si>
  <si>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</si>
  <si>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</si>
  <si>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</si>
  <si>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</si>
  <si>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</si>
  <si>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</si>
  <si>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</si>
  <si>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</si>
  <si>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</si>
  <si>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</si>
  <si>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</si>
  <si>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</si>
  <si>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</si>
  <si>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</si>
  <si>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</si>
  <si>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</si>
  <si>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</si>
  <si>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</si>
  <si>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</si>
  <si>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</si>
  <si>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</si>
  <si>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</si>
  <si>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</si>
  <si>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</si>
  <si>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</si>
  <si>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</si>
  <si>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</si>
  <si>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</si>
  <si>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</si>
  <si>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</si>
  <si>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</si>
  <si>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</si>
  <si>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</si>
  <si>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</si>
  <si>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</si>
  <si>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</si>
  <si>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</si>
  <si>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</si>
  <si>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</si>
  <si>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</si>
  <si>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</si>
  <si>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</si>
  <si>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</si>
  <si>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</si>
  <si>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</si>
  <si>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</si>
  <si>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</si>
  <si>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</si>
  <si>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</si>
  <si>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</si>
  <si>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</si>
  <si>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</si>
  <si>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</si>
  <si>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</si>
  <si>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</si>
  <si>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</si>
  <si>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</si>
  <si>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</si>
  <si>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</si>
  <si>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</si>
  <si>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</si>
  <si>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</si>
  <si>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</si>
  <si>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</si>
  <si>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</si>
  <si>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</si>
  <si>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</si>
  <si>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</si>
  <si>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</si>
  <si>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</si>
  <si>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</si>
  <si>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</si>
  <si>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</si>
  <si>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</si>
  <si>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</si>
  <si>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</si>
  <si>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</si>
  <si>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</si>
  <si>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</si>
  <si>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</si>
  <si>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</si>
  <si>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</si>
  <si>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</si>
  <si>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</si>
  <si>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</si>
  <si>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</si>
  <si>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</si>
  <si>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</si>
  <si>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</si>
  <si>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</si>
  <si>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</si>
  <si>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</si>
  <si>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</si>
  <si>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</si>
  <si>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</si>
  <si>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</si>
  <si>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</si>
  <si>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</si>
  <si>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</si>
  <si>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</si>
  <si>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</si>
  <si>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</si>
  <si>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</si>
  <si>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</si>
  <si>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</si>
  <si>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</si>
  <si>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</si>
  <si>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</si>
  <si>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</si>
  <si>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</si>
  <si>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</si>
  <si>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</si>
  <si>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</si>
  <si>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</si>
  <si>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</si>
  <si>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</si>
  <si>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</si>
  <si>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</si>
  <si>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</si>
  <si>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</si>
  <si>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</si>
  <si>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</si>
  <si>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</si>
  <si>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</si>
  <si>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</si>
  <si>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</si>
  <si>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</si>
  <si>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</si>
  <si>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</si>
  <si>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</si>
  <si>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</si>
  <si>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</si>
  <si>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</si>
  <si>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</si>
  <si>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</si>
  <si>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</si>
  <si>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</si>
  <si>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</si>
  <si>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</si>
  <si>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</si>
  <si>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</si>
  <si>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</si>
  <si>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</si>
  <si>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</si>
  <si>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</si>
  <si>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</si>
  <si>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</si>
  <si>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</si>
  <si>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</si>
  <si>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</si>
  <si>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</si>
  <si>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</si>
  <si>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</si>
  <si>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</si>
  <si>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</si>
  <si>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</si>
  <si>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</si>
  <si>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</si>
  <si>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</si>
  <si>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</si>
  <si>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</si>
  <si>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</si>
  <si>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</si>
  <si>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</si>
  <si>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</si>
  <si>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</si>
  <si>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</si>
  <si>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</si>
  <si>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</si>
  <si>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</si>
  <si>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</si>
  <si>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</si>
  <si>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</si>
  <si>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</si>
  <si>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</si>
  <si>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</si>
  <si>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</si>
  <si>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</si>
  <si>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</si>
  <si>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</si>
  <si>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</si>
  <si>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</si>
  <si>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</si>
  <si>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</si>
  <si>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</si>
  <si>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</si>
  <si>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</si>
  <si>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</si>
  <si>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</si>
  <si>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</si>
  <si>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</si>
  <si>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</si>
  <si>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</si>
  <si>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</si>
  <si>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</si>
  <si>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</si>
  <si>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</si>
  <si>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</si>
  <si>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</si>
  <si>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</si>
  <si>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</si>
  <si>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</si>
  <si>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</si>
  <si>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</si>
  <si>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</si>
  <si>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</si>
  <si>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</si>
  <si>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</si>
  <si>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</si>
  <si>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</si>
  <si>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</si>
  <si>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</si>
  <si>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</si>
  <si>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</si>
  <si>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</si>
  <si>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</si>
  <si>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</si>
  <si>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</si>
  <si>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</si>
  <si>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</si>
  <si>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</si>
  <si>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</si>
  <si>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</si>
  <si>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</si>
  <si>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</si>
  <si>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</si>
  <si>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</si>
  <si>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</si>
  <si>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</si>
  <si>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</si>
  <si>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</si>
  <si>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</si>
  <si>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</si>
  <si>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</si>
  <si>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</si>
  <si>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</si>
  <si>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</si>
  <si>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</si>
  <si>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</si>
  <si>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</si>
  <si>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</si>
  <si>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</si>
  <si>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</si>
  <si>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</si>
  <si>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</si>
  <si>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</si>
  <si>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</si>
  <si>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</si>
  <si>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</si>
  <si>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</si>
  <si>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</si>
  <si>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</si>
  <si>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</si>
  <si>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</si>
  <si>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</si>
  <si>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</si>
  <si>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</si>
  <si>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</si>
  <si>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</si>
  <si>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</si>
  <si>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</si>
  <si>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</si>
  <si>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</si>
  <si>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</si>
  <si>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</si>
  <si>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</si>
  <si>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</si>
  <si>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</si>
  <si>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</si>
  <si>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</si>
  <si>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</si>
  <si>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</si>
  <si>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</si>
  <si>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</si>
  <si>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</si>
  <si>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</si>
  <si>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</si>
  <si>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</si>
  <si>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</si>
  <si>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</si>
  <si>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</si>
  <si>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</si>
  <si>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</si>
  <si>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</si>
  <si>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</si>
  <si>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</si>
  <si>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</si>
  <si>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</si>
  <si>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</si>
  <si>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</si>
  <si>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</si>
  <si>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</si>
  <si>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</si>
  <si>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</si>
  <si>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</si>
  <si>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</si>
  <si>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</si>
  <si>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</si>
  <si>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</si>
  <si>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</si>
  <si>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</si>
  <si>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</si>
  <si>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</si>
  <si>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</si>
  <si>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</si>
  <si>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</si>
  <si>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</si>
  <si>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</si>
  <si>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</si>
  <si>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</si>
  <si>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</si>
  <si>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</si>
  <si>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</si>
  <si>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</si>
  <si>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</si>
  <si>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</si>
  <si>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</si>
  <si>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</si>
  <si>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</si>
  <si>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</si>
  <si>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</si>
  <si>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</si>
  <si>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</si>
  <si>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</si>
  <si>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</si>
  <si>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</si>
  <si>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</si>
  <si>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</si>
  <si>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</si>
  <si>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</si>
  <si>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</si>
  <si>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</si>
  <si>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</si>
  <si>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</si>
  <si>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</si>
  <si>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</si>
  <si>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</si>
  <si>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</si>
  <si>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</si>
  <si>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</si>
  <si>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</si>
  <si>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</si>
  <si>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</si>
  <si>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</si>
  <si>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</si>
  <si>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</si>
  <si>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</si>
  <si>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</si>
  <si>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</si>
  <si>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</si>
  <si>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</si>
  <si>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</si>
  <si>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</si>
  <si>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</si>
  <si>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</si>
  <si>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</si>
  <si>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</si>
  <si>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</si>
  <si>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</si>
  <si>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</si>
  <si>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</si>
  <si>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</si>
  <si>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</si>
  <si>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</si>
  <si>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</si>
  <si>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</si>
  <si>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</si>
  <si>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</si>
  <si>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</si>
  <si>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</si>
  <si>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</si>
  <si>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</si>
  <si>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</si>
  <si>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</si>
  <si>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</si>
  <si>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</si>
  <si>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</si>
  <si>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</si>
  <si>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</si>
  <si>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</si>
  <si>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</si>
  <si>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</si>
  <si>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</si>
  <si>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</si>
  <si>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</si>
  <si>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</si>
  <si>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</si>
  <si>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</si>
  <si>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</si>
  <si>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</si>
  <si>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</si>
  <si>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</si>
  <si>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</si>
  <si>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</si>
  <si>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</si>
  <si>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</si>
  <si>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</si>
  <si>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</si>
  <si>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</si>
  <si>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</si>
  <si>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</si>
  <si>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</si>
  <si>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</si>
  <si>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</si>
  <si>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</si>
  <si>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</si>
  <si>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</si>
  <si>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</si>
  <si>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</si>
  <si>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</si>
  <si>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</si>
  <si>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</si>
  <si>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</si>
  <si>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</si>
  <si>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</si>
  <si>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</si>
  <si>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</si>
  <si>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</si>
  <si>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</si>
  <si>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</si>
  <si>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</si>
  <si>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</si>
  <si>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</si>
  <si>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</si>
  <si>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</si>
  <si>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</si>
  <si>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</si>
  <si>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</si>
  <si>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</si>
  <si>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</si>
  <si>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</si>
  <si>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</si>
  <si>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</si>
  <si>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</si>
  <si>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</si>
  <si>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</si>
  <si>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</si>
  <si>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</si>
  <si>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</si>
  <si>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</si>
  <si>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</si>
  <si>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</si>
  <si>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</si>
  <si>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</si>
  <si>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</si>
  <si>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</si>
  <si>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</si>
  <si>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</si>
  <si>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</si>
  <si>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</si>
  <si>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</si>
  <si>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</si>
  <si>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</si>
  <si>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</si>
  <si>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</si>
  <si>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</si>
  <si>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</si>
  <si>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</si>
  <si>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</si>
  <si>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</si>
  <si>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</si>
  <si>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</si>
  <si>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</si>
  <si>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</si>
  <si>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</si>
  <si>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</si>
  <si>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</si>
  <si>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</si>
  <si>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</si>
  <si>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</si>
  <si>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</si>
  <si>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</si>
  <si>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</si>
  <si>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</si>
  <si>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</si>
  <si>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</si>
  <si>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</si>
  <si>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</si>
  <si>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</si>
  <si>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</si>
  <si>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</si>
  <si>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</si>
  <si>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</si>
  <si>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</si>
  <si>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</si>
  <si>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</si>
  <si>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</si>
  <si>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</si>
  <si>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</si>
  <si>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23077</t>
  </si>
  <si>
    <t>SINT-PIETERS-LEEUW</t>
  </si>
  <si>
    <t>Fluvius</t>
  </si>
  <si>
    <t>referentietaak LNE (2017); Jaarverslag De Lijn</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</si>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</sst>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274040.47776696837</c:v>
                </c:pt>
                <c:pt idx="1">
                  <c:v>98378.36492245202</c:v>
                </c:pt>
                <c:pt idx="2">
                  <c:v>1814.76</c:v>
                </c:pt>
                <c:pt idx="3">
                  <c:v>5364.400985261298</c:v>
                </c:pt>
                <c:pt idx="4">
                  <c:v>52320.371022979089</c:v>
                </c:pt>
                <c:pt idx="5">
                  <c:v>244080.64860761052</c:v>
                </c:pt>
                <c:pt idx="6">
                  <c:v>4581.8132438718403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274040.47776696837</c:v>
                </c:pt>
                <c:pt idx="1">
                  <c:v>98378.36492245202</c:v>
                </c:pt>
                <c:pt idx="2">
                  <c:v>1814.76</c:v>
                </c:pt>
                <c:pt idx="3">
                  <c:v>5364.400985261298</c:v>
                </c:pt>
                <c:pt idx="4">
                  <c:v>52320.371022979089</c:v>
                </c:pt>
                <c:pt idx="5">
                  <c:v>244080.64860761052</c:v>
                </c:pt>
                <c:pt idx="6">
                  <c:v>4581.8132438718403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54635.411150853615</c:v>
                </c:pt>
                <c:pt idx="2">
                  <c:v>18498.141712731769</c:v>
                </c:pt>
                <c:pt idx="3">
                  <c:v>331.00912762874611</c:v>
                </c:pt>
                <c:pt idx="4">
                  <c:v>1276.8161763120529</c:v>
                </c:pt>
                <c:pt idx="5">
                  <c:v>10077.035638957495</c:v>
                </c:pt>
                <c:pt idx="6">
                  <c:v>61051.679787003137</c:v>
                </c:pt>
                <c:pt idx="7">
                  <c:v>1153.532470057537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54635.411150853615</c:v>
                </c:pt>
                <c:pt idx="2">
                  <c:v>18498.141712731769</c:v>
                </c:pt>
                <c:pt idx="3">
                  <c:v>331.00912762874611</c:v>
                </c:pt>
                <c:pt idx="4">
                  <c:v>1276.8161763120529</c:v>
                </c:pt>
                <c:pt idx="5">
                  <c:v>10077.035638957495</c:v>
                </c:pt>
                <c:pt idx="6">
                  <c:v>61051.679787003137</c:v>
                </c:pt>
                <c:pt idx="7">
                  <c:v>1153.532470057537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23077</v>
      </c>
      <c r="B6" s="384"/>
      <c r="C6" s="385"/>
    </row>
    <row r="7" spans="1:7" s="382" customFormat="1" ht="15.75" customHeight="1">
      <c r="A7" s="386" t="str">
        <f>txtMunicipality</f>
        <v>SINT-PIETERS-LEEUW</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47849.5674716922</v>
      </c>
      <c r="D10" s="973">
        <f ca="1">tertiair!C16</f>
        <v>35.357142857142861</v>
      </c>
      <c r="E10" s="973">
        <f ca="1">tertiair!D16</f>
        <v>37852.771028959367</v>
      </c>
      <c r="F10" s="973">
        <f>tertiair!E16</f>
        <v>858.5196071899212</v>
      </c>
      <c r="G10" s="973">
        <f ca="1">tertiair!F16</f>
        <v>8434.0039162003995</v>
      </c>
      <c r="H10" s="973">
        <f>tertiair!G16</f>
        <v>0</v>
      </c>
      <c r="I10" s="973">
        <f>tertiair!H16</f>
        <v>0</v>
      </c>
      <c r="J10" s="973">
        <f>tertiair!I16</f>
        <v>0</v>
      </c>
      <c r="K10" s="973">
        <f>tertiair!J16</f>
        <v>0.1302538743847815</v>
      </c>
      <c r="L10" s="973">
        <f>tertiair!K16</f>
        <v>0</v>
      </c>
      <c r="M10" s="973">
        <f ca="1">tertiair!L16</f>
        <v>0</v>
      </c>
      <c r="N10" s="973">
        <f>tertiair!M16</f>
        <v>0</v>
      </c>
      <c r="O10" s="973">
        <f ca="1">tertiair!N16</f>
        <v>5162.7755016785923</v>
      </c>
      <c r="P10" s="973">
        <f>tertiair!O16</f>
        <v>0</v>
      </c>
      <c r="Q10" s="974">
        <f>tertiair!P16</f>
        <v>0</v>
      </c>
      <c r="R10" s="668">
        <f ca="1">SUM(C10:Q10)</f>
        <v>100193.12492245203</v>
      </c>
      <c r="S10" s="67"/>
    </row>
    <row r="11" spans="1:19" s="441" customFormat="1">
      <c r="A11" s="777" t="s">
        <v>219</v>
      </c>
      <c r="B11" s="782"/>
      <c r="C11" s="973">
        <f>huishoudens!B8</f>
        <v>52327.186352533106</v>
      </c>
      <c r="D11" s="973">
        <f>huishoudens!C8</f>
        <v>0</v>
      </c>
      <c r="E11" s="973">
        <f>huishoudens!D8</f>
        <v>135016.37120258316</v>
      </c>
      <c r="F11" s="973">
        <f>huishoudens!E8</f>
        <v>2532.8178322965209</v>
      </c>
      <c r="G11" s="973">
        <f>huishoudens!F8</f>
        <v>64170.250466265839</v>
      </c>
      <c r="H11" s="973">
        <f>huishoudens!G8</f>
        <v>0</v>
      </c>
      <c r="I11" s="973">
        <f>huishoudens!H8</f>
        <v>0</v>
      </c>
      <c r="J11" s="973">
        <f>huishoudens!I8</f>
        <v>0</v>
      </c>
      <c r="K11" s="973">
        <f>huishoudens!J8</f>
        <v>308.78004590610169</v>
      </c>
      <c r="L11" s="973">
        <f>huishoudens!K8</f>
        <v>0</v>
      </c>
      <c r="M11" s="973">
        <f>huishoudens!L8</f>
        <v>0</v>
      </c>
      <c r="N11" s="973">
        <f>huishoudens!M8</f>
        <v>0</v>
      </c>
      <c r="O11" s="973">
        <f>huishoudens!N8</f>
        <v>18945.48853405035</v>
      </c>
      <c r="P11" s="973">
        <f>huishoudens!O8</f>
        <v>148.51666666666668</v>
      </c>
      <c r="Q11" s="974">
        <f>huishoudens!P8</f>
        <v>591.06666666666661</v>
      </c>
      <c r="R11" s="668">
        <f>SUM(C11:Q11)</f>
        <v>274040.47776696837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23646.282079127981</v>
      </c>
      <c r="D13" s="973">
        <f>industrie!C18</f>
        <v>0</v>
      </c>
      <c r="E13" s="973">
        <f>industrie!D18</f>
        <v>19220.95931806272</v>
      </c>
      <c r="F13" s="973">
        <f>industrie!E18</f>
        <v>1666.0759935903934</v>
      </c>
      <c r="G13" s="973">
        <f>industrie!F18</f>
        <v>5557.8284370436104</v>
      </c>
      <c r="H13" s="973">
        <f>industrie!G18</f>
        <v>0</v>
      </c>
      <c r="I13" s="973">
        <f>industrie!H18</f>
        <v>0</v>
      </c>
      <c r="J13" s="973">
        <f>industrie!I18</f>
        <v>0</v>
      </c>
      <c r="K13" s="973">
        <f>industrie!J18</f>
        <v>54.296349966599699</v>
      </c>
      <c r="L13" s="973">
        <f>industrie!K18</f>
        <v>0</v>
      </c>
      <c r="M13" s="973">
        <f>industrie!L18</f>
        <v>0</v>
      </c>
      <c r="N13" s="973">
        <f>industrie!M18</f>
        <v>0</v>
      </c>
      <c r="O13" s="973">
        <f>industrie!N18</f>
        <v>2174.9288451877883</v>
      </c>
      <c r="P13" s="973">
        <f>industrie!O18</f>
        <v>0</v>
      </c>
      <c r="Q13" s="974">
        <f>industrie!P18</f>
        <v>0</v>
      </c>
      <c r="R13" s="668">
        <f>SUM(C13:Q13)</f>
        <v>52320.371022979089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123823.03590335329</v>
      </c>
      <c r="D16" s="700">
        <f t="shared" ref="D16:R16" ca="1" si="0">SUM(D9:D15)</f>
        <v>35.357142857142861</v>
      </c>
      <c r="E16" s="700">
        <f t="shared" ca="1" si="0"/>
        <v>192090.10154960526</v>
      </c>
      <c r="F16" s="700">
        <f t="shared" si="0"/>
        <v>5057.4134330768356</v>
      </c>
      <c r="G16" s="700">
        <f t="shared" ca="1" si="0"/>
        <v>78162.082819509858</v>
      </c>
      <c r="H16" s="700">
        <f t="shared" si="0"/>
        <v>0</v>
      </c>
      <c r="I16" s="700">
        <f t="shared" si="0"/>
        <v>0</v>
      </c>
      <c r="J16" s="700">
        <f t="shared" si="0"/>
        <v>0</v>
      </c>
      <c r="K16" s="700">
        <f t="shared" si="0"/>
        <v>363.20664974708615</v>
      </c>
      <c r="L16" s="700">
        <f t="shared" si="0"/>
        <v>0</v>
      </c>
      <c r="M16" s="700">
        <f t="shared" ca="1" si="0"/>
        <v>0</v>
      </c>
      <c r="N16" s="700">
        <f t="shared" si="0"/>
        <v>0</v>
      </c>
      <c r="O16" s="700">
        <f t="shared" ca="1" si="0"/>
        <v>26283.192880916729</v>
      </c>
      <c r="P16" s="700">
        <f t="shared" si="0"/>
        <v>148.51666666666668</v>
      </c>
      <c r="Q16" s="700">
        <f t="shared" si="0"/>
        <v>591.06666666666661</v>
      </c>
      <c r="R16" s="700">
        <f t="shared" ca="1" si="0"/>
        <v>426553.97371239949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45.65841887177546</v>
      </c>
      <c r="D19" s="973">
        <f>transport!C54</f>
        <v>0</v>
      </c>
      <c r="E19" s="973">
        <f>transport!D54</f>
        <v>0</v>
      </c>
      <c r="F19" s="973">
        <f>transport!E54</f>
        <v>0</v>
      </c>
      <c r="G19" s="973">
        <f>transport!F54</f>
        <v>0</v>
      </c>
      <c r="H19" s="973">
        <f>transport!G54</f>
        <v>4289.1552522787169</v>
      </c>
      <c r="I19" s="973">
        <f>transport!H54</f>
        <v>0</v>
      </c>
      <c r="J19" s="973">
        <f>transport!I54</f>
        <v>0</v>
      </c>
      <c r="K19" s="973">
        <f>transport!J54</f>
        <v>0</v>
      </c>
      <c r="L19" s="973">
        <f>transport!K54</f>
        <v>0</v>
      </c>
      <c r="M19" s="973">
        <f>transport!L54</f>
        <v>0</v>
      </c>
      <c r="N19" s="973">
        <f>transport!M54</f>
        <v>246.99957272134847</v>
      </c>
      <c r="O19" s="973">
        <f>transport!N54</f>
        <v>0</v>
      </c>
      <c r="P19" s="973">
        <f>transport!O54</f>
        <v>0</v>
      </c>
      <c r="Q19" s="974">
        <f>transport!P54</f>
        <v>0</v>
      </c>
      <c r="R19" s="668">
        <f>SUM(C19:Q19)</f>
        <v>4581.8132438718403</v>
      </c>
      <c r="S19" s="67"/>
    </row>
    <row r="20" spans="1:19" s="441" customFormat="1">
      <c r="A20" s="777" t="s">
        <v>301</v>
      </c>
      <c r="B20" s="782"/>
      <c r="C20" s="973">
        <f>transport!B14</f>
        <v>162.33507244675471</v>
      </c>
      <c r="D20" s="973">
        <f>transport!C14</f>
        <v>0</v>
      </c>
      <c r="E20" s="973">
        <f>transport!D14</f>
        <v>278.17107747342413</v>
      </c>
      <c r="F20" s="973">
        <f>transport!E14</f>
        <v>511.87358275408991</v>
      </c>
      <c r="G20" s="973">
        <f>transport!F14</f>
        <v>0</v>
      </c>
      <c r="H20" s="973">
        <f>transport!G14</f>
        <v>185826.04388854874</v>
      </c>
      <c r="I20" s="973">
        <f>transport!H14</f>
        <v>45116.990231285548</v>
      </c>
      <c r="J20" s="973">
        <f>transport!I14</f>
        <v>0</v>
      </c>
      <c r="K20" s="973">
        <f>transport!J14</f>
        <v>0</v>
      </c>
      <c r="L20" s="973">
        <f>transport!K14</f>
        <v>0</v>
      </c>
      <c r="M20" s="973">
        <f>transport!L14</f>
        <v>0</v>
      </c>
      <c r="N20" s="973">
        <f>transport!M14</f>
        <v>12185.234755101961</v>
      </c>
      <c r="O20" s="973">
        <f>transport!N14</f>
        <v>0</v>
      </c>
      <c r="P20" s="973">
        <f>transport!O14</f>
        <v>0</v>
      </c>
      <c r="Q20" s="974">
        <f>transport!P14</f>
        <v>0</v>
      </c>
      <c r="R20" s="668">
        <f>SUM(C20:Q20)</f>
        <v>244080.64860761052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207.99349131853018</v>
      </c>
      <c r="D22" s="780">
        <f t="shared" ref="D22:R22" si="1">SUM(D18:D21)</f>
        <v>0</v>
      </c>
      <c r="E22" s="780">
        <f t="shared" si="1"/>
        <v>278.17107747342413</v>
      </c>
      <c r="F22" s="780">
        <f t="shared" si="1"/>
        <v>511.87358275408991</v>
      </c>
      <c r="G22" s="780">
        <f t="shared" si="1"/>
        <v>0</v>
      </c>
      <c r="H22" s="780">
        <f t="shared" si="1"/>
        <v>190115.19914082746</v>
      </c>
      <c r="I22" s="780">
        <f t="shared" si="1"/>
        <v>45116.990231285548</v>
      </c>
      <c r="J22" s="780">
        <f t="shared" si="1"/>
        <v>0</v>
      </c>
      <c r="K22" s="780">
        <f t="shared" si="1"/>
        <v>0</v>
      </c>
      <c r="L22" s="780">
        <f t="shared" si="1"/>
        <v>0</v>
      </c>
      <c r="M22" s="780">
        <f t="shared" si="1"/>
        <v>0</v>
      </c>
      <c r="N22" s="780">
        <f t="shared" si="1"/>
        <v>12432.234327823309</v>
      </c>
      <c r="O22" s="780">
        <f t="shared" si="1"/>
        <v>0</v>
      </c>
      <c r="P22" s="780">
        <f t="shared" si="1"/>
        <v>0</v>
      </c>
      <c r="Q22" s="780">
        <f t="shared" si="1"/>
        <v>0</v>
      </c>
      <c r="R22" s="780">
        <f t="shared" si="1"/>
        <v>248662.46185148237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705.287182594961</v>
      </c>
      <c r="D24" s="973">
        <f>+landbouw!C8</f>
        <v>0</v>
      </c>
      <c r="E24" s="973">
        <f>+landbouw!D8</f>
        <v>1598.0140006601337</v>
      </c>
      <c r="F24" s="973">
        <f>+landbouw!E8</f>
        <v>20.730544492162043</v>
      </c>
      <c r="G24" s="973">
        <f>+landbouw!F8</f>
        <v>2938.1882909716555</v>
      </c>
      <c r="H24" s="973">
        <f>+landbouw!G8</f>
        <v>0</v>
      </c>
      <c r="I24" s="973">
        <f>+landbouw!H8</f>
        <v>0</v>
      </c>
      <c r="J24" s="973">
        <f>+landbouw!I8</f>
        <v>0</v>
      </c>
      <c r="K24" s="973">
        <f>+landbouw!J8</f>
        <v>102.18096654238661</v>
      </c>
      <c r="L24" s="973">
        <f>+landbouw!K8</f>
        <v>0</v>
      </c>
      <c r="M24" s="973">
        <f>+landbouw!L8</f>
        <v>0</v>
      </c>
      <c r="N24" s="973">
        <f>+landbouw!M8</f>
        <v>0</v>
      </c>
      <c r="O24" s="973">
        <f>+landbouw!N8</f>
        <v>0</v>
      </c>
      <c r="P24" s="973">
        <f>+landbouw!O8</f>
        <v>0</v>
      </c>
      <c r="Q24" s="974">
        <f>+landbouw!P8</f>
        <v>0</v>
      </c>
      <c r="R24" s="668">
        <f>SUM(C24:Q24)</f>
        <v>5364.400985261298</v>
      </c>
      <c r="S24" s="67"/>
    </row>
    <row r="25" spans="1:19" s="441" customFormat="1" ht="15" thickBot="1">
      <c r="A25" s="799" t="s">
        <v>808</v>
      </c>
      <c r="B25" s="976"/>
      <c r="C25" s="977">
        <f>IF(Onbekend_ele_kWh="---",0,Onbekend_ele_kWh)/1000+IF(REST_rest_ele_kWh="---",0,REST_rest_ele_kWh)/1000</f>
        <v>1440.76819161964</v>
      </c>
      <c r="D25" s="977"/>
      <c r="E25" s="977">
        <f>IF(onbekend_gas_kWh="---",0,onbekend_gas_kWh)/1000+IF(REST_rest_gas_kWh="---",0,REST_rest_gas_kWh)/1000</f>
        <v>13707.048625899499</v>
      </c>
      <c r="F25" s="977"/>
      <c r="G25" s="977"/>
      <c r="H25" s="977"/>
      <c r="I25" s="977"/>
      <c r="J25" s="977"/>
      <c r="K25" s="977"/>
      <c r="L25" s="977"/>
      <c r="M25" s="977"/>
      <c r="N25" s="977"/>
      <c r="O25" s="977"/>
      <c r="P25" s="977"/>
      <c r="Q25" s="978"/>
      <c r="R25" s="668">
        <f>SUM(C25:Q25)</f>
        <v>15147.816817519139</v>
      </c>
      <c r="S25" s="67"/>
    </row>
    <row r="26" spans="1:19" s="441" customFormat="1" ht="15.75" thickBot="1">
      <c r="A26" s="673" t="s">
        <v>809</v>
      </c>
      <c r="B26" s="785"/>
      <c r="C26" s="780">
        <f>SUM(C24:C25)</f>
        <v>2146.0553742146012</v>
      </c>
      <c r="D26" s="780">
        <f t="shared" ref="D26:R26" si="2">SUM(D24:D25)</f>
        <v>0</v>
      </c>
      <c r="E26" s="780">
        <f t="shared" si="2"/>
        <v>15305.062626559633</v>
      </c>
      <c r="F26" s="780">
        <f t="shared" si="2"/>
        <v>20.730544492162043</v>
      </c>
      <c r="G26" s="780">
        <f t="shared" si="2"/>
        <v>2938.1882909716555</v>
      </c>
      <c r="H26" s="780">
        <f t="shared" si="2"/>
        <v>0</v>
      </c>
      <c r="I26" s="780">
        <f t="shared" si="2"/>
        <v>0</v>
      </c>
      <c r="J26" s="780">
        <f t="shared" si="2"/>
        <v>0</v>
      </c>
      <c r="K26" s="780">
        <f t="shared" si="2"/>
        <v>102.18096654238661</v>
      </c>
      <c r="L26" s="780">
        <f t="shared" si="2"/>
        <v>0</v>
      </c>
      <c r="M26" s="780">
        <f t="shared" si="2"/>
        <v>0</v>
      </c>
      <c r="N26" s="780">
        <f t="shared" si="2"/>
        <v>0</v>
      </c>
      <c r="O26" s="780">
        <f t="shared" si="2"/>
        <v>0</v>
      </c>
      <c r="P26" s="780">
        <f t="shared" si="2"/>
        <v>0</v>
      </c>
      <c r="Q26" s="780">
        <f t="shared" si="2"/>
        <v>0</v>
      </c>
      <c r="R26" s="780">
        <f t="shared" si="2"/>
        <v>20512.217802780437</v>
      </c>
      <c r="S26" s="67"/>
    </row>
    <row r="27" spans="1:19" s="441" customFormat="1" ht="17.25" thickTop="1" thickBot="1">
      <c r="A27" s="674" t="s">
        <v>115</v>
      </c>
      <c r="B27" s="773"/>
      <c r="C27" s="675">
        <f ca="1">C22+C16+C26</f>
        <v>126177.08476888642</v>
      </c>
      <c r="D27" s="675">
        <f t="shared" ref="D27:R27" ca="1" si="3">D22+D16+D26</f>
        <v>35.357142857142861</v>
      </c>
      <c r="E27" s="675">
        <f t="shared" ca="1" si="3"/>
        <v>207673.33525363833</v>
      </c>
      <c r="F27" s="675">
        <f t="shared" si="3"/>
        <v>5590.0175603230873</v>
      </c>
      <c r="G27" s="675">
        <f t="shared" ca="1" si="3"/>
        <v>81100.27111048151</v>
      </c>
      <c r="H27" s="675">
        <f t="shared" si="3"/>
        <v>190115.19914082746</v>
      </c>
      <c r="I27" s="675">
        <f t="shared" si="3"/>
        <v>45116.990231285548</v>
      </c>
      <c r="J27" s="675">
        <f t="shared" si="3"/>
        <v>0</v>
      </c>
      <c r="K27" s="675">
        <f t="shared" si="3"/>
        <v>465.38761628947276</v>
      </c>
      <c r="L27" s="675">
        <f t="shared" si="3"/>
        <v>0</v>
      </c>
      <c r="M27" s="675">
        <f t="shared" ca="1" si="3"/>
        <v>0</v>
      </c>
      <c r="N27" s="675">
        <f t="shared" si="3"/>
        <v>12432.234327823309</v>
      </c>
      <c r="O27" s="675">
        <f t="shared" ca="1" si="3"/>
        <v>26283.192880916729</v>
      </c>
      <c r="P27" s="675">
        <f t="shared" si="3"/>
        <v>148.51666666666668</v>
      </c>
      <c r="Q27" s="675">
        <f t="shared" si="3"/>
        <v>591.06666666666661</v>
      </c>
      <c r="R27" s="675">
        <f t="shared" ca="1" si="3"/>
        <v>695728.65336666233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8727.6794651731689</v>
      </c>
      <c r="D40" s="973">
        <f ca="1">tertiair!C20</f>
        <v>8.4025210084033635</v>
      </c>
      <c r="E40" s="973">
        <f ca="1">tertiair!D20</f>
        <v>7646.2597478497928</v>
      </c>
      <c r="F40" s="973">
        <f>tertiair!E20</f>
        <v>194.88395083211211</v>
      </c>
      <c r="G40" s="973">
        <f ca="1">tertiair!F20</f>
        <v>2251.8790456255069</v>
      </c>
      <c r="H40" s="973">
        <f>tertiair!G20</f>
        <v>0</v>
      </c>
      <c r="I40" s="973">
        <f>tertiair!H20</f>
        <v>0</v>
      </c>
      <c r="J40" s="973">
        <f>tertiair!I20</f>
        <v>0</v>
      </c>
      <c r="K40" s="973">
        <f>tertiair!J20</f>
        <v>4.6109871532212653E-2</v>
      </c>
      <c r="L40" s="973">
        <f>tertiair!K20</f>
        <v>0</v>
      </c>
      <c r="M40" s="973">
        <f ca="1">tertiair!L20</f>
        <v>0</v>
      </c>
      <c r="N40" s="973">
        <f>tertiair!M20</f>
        <v>0</v>
      </c>
      <c r="O40" s="973">
        <f ca="1">tertiair!N20</f>
        <v>0</v>
      </c>
      <c r="P40" s="973">
        <f>tertiair!O20</f>
        <v>0</v>
      </c>
      <c r="Q40" s="742">
        <f>tertiair!P20</f>
        <v>0</v>
      </c>
      <c r="R40" s="818">
        <f t="shared" ca="1" si="4"/>
        <v>18829.150840360515</v>
      </c>
    </row>
    <row r="41" spans="1:18">
      <c r="A41" s="790" t="s">
        <v>219</v>
      </c>
      <c r="B41" s="797"/>
      <c r="C41" s="973">
        <f ca="1">huishoudens!B12</f>
        <v>9544.3895092567691</v>
      </c>
      <c r="D41" s="973">
        <f ca="1">huishoudens!C12</f>
        <v>0</v>
      </c>
      <c r="E41" s="973">
        <f>huishoudens!D12</f>
        <v>27273.3069829218</v>
      </c>
      <c r="F41" s="973">
        <f>huishoudens!E12</f>
        <v>574.94964793131032</v>
      </c>
      <c r="G41" s="973">
        <f>huishoudens!F12</f>
        <v>17133.456874492978</v>
      </c>
      <c r="H41" s="973">
        <f>huishoudens!G12</f>
        <v>0</v>
      </c>
      <c r="I41" s="973">
        <f>huishoudens!H12</f>
        <v>0</v>
      </c>
      <c r="J41" s="973">
        <f>huishoudens!I12</f>
        <v>0</v>
      </c>
      <c r="K41" s="973">
        <f>huishoudens!J12</f>
        <v>109.30813625075999</v>
      </c>
      <c r="L41" s="973">
        <f>huishoudens!K12</f>
        <v>0</v>
      </c>
      <c r="M41" s="973">
        <f>huishoudens!L12</f>
        <v>0</v>
      </c>
      <c r="N41" s="973">
        <f>huishoudens!M12</f>
        <v>0</v>
      </c>
      <c r="O41" s="973">
        <f>huishoudens!N12</f>
        <v>0</v>
      </c>
      <c r="P41" s="973">
        <f>huishoudens!O12</f>
        <v>0</v>
      </c>
      <c r="Q41" s="742">
        <f>huishoudens!P12</f>
        <v>0</v>
      </c>
      <c r="R41" s="818">
        <f t="shared" ca="1" si="4"/>
        <v>54635.411150853615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4313.0415055849844</v>
      </c>
      <c r="D43" s="973">
        <f ca="1">industrie!C22</f>
        <v>0</v>
      </c>
      <c r="E43" s="973">
        <f>industrie!D22</f>
        <v>3882.6337822486698</v>
      </c>
      <c r="F43" s="973">
        <f>industrie!E22</f>
        <v>378.19925054501931</v>
      </c>
      <c r="G43" s="973">
        <f>industrie!F22</f>
        <v>1483.9401926906442</v>
      </c>
      <c r="H43" s="973">
        <f>industrie!G22</f>
        <v>0</v>
      </c>
      <c r="I43" s="973">
        <f>industrie!H22</f>
        <v>0</v>
      </c>
      <c r="J43" s="973">
        <f>industrie!I22</f>
        <v>0</v>
      </c>
      <c r="K43" s="973">
        <f>industrie!J22</f>
        <v>19.220907888176292</v>
      </c>
      <c r="L43" s="973">
        <f>industrie!K22</f>
        <v>0</v>
      </c>
      <c r="M43" s="973">
        <f>industrie!L22</f>
        <v>0</v>
      </c>
      <c r="N43" s="973">
        <f>industrie!M22</f>
        <v>0</v>
      </c>
      <c r="O43" s="973">
        <f>industrie!N22</f>
        <v>0</v>
      </c>
      <c r="P43" s="973">
        <f>industrie!O22</f>
        <v>0</v>
      </c>
      <c r="Q43" s="742">
        <f>industrie!P22</f>
        <v>0</v>
      </c>
      <c r="R43" s="817">
        <f t="shared" ca="1" si="4"/>
        <v>10077.035638957495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22585.110480014922</v>
      </c>
      <c r="D46" s="700">
        <f t="shared" ref="D46:Q46" ca="1" si="5">SUM(D39:D45)</f>
        <v>8.4025210084033635</v>
      </c>
      <c r="E46" s="700">
        <f t="shared" ca="1" si="5"/>
        <v>38802.20051302026</v>
      </c>
      <c r="F46" s="700">
        <f t="shared" si="5"/>
        <v>1148.0328493084417</v>
      </c>
      <c r="G46" s="700">
        <f t="shared" ca="1" si="5"/>
        <v>20869.27611280913</v>
      </c>
      <c r="H46" s="700">
        <f t="shared" si="5"/>
        <v>0</v>
      </c>
      <c r="I46" s="700">
        <f t="shared" si="5"/>
        <v>0</v>
      </c>
      <c r="J46" s="700">
        <f t="shared" si="5"/>
        <v>0</v>
      </c>
      <c r="K46" s="700">
        <f t="shared" si="5"/>
        <v>128.57515401046848</v>
      </c>
      <c r="L46" s="700">
        <f t="shared" si="5"/>
        <v>0</v>
      </c>
      <c r="M46" s="700">
        <f t="shared" ca="1" si="5"/>
        <v>0</v>
      </c>
      <c r="N46" s="700">
        <f t="shared" si="5"/>
        <v>0</v>
      </c>
      <c r="O46" s="700">
        <f t="shared" ca="1" si="5"/>
        <v>0</v>
      </c>
      <c r="P46" s="700">
        <f t="shared" si="5"/>
        <v>0</v>
      </c>
      <c r="Q46" s="700">
        <f t="shared" si="5"/>
        <v>0</v>
      </c>
      <c r="R46" s="700">
        <f ca="1">SUM(R39:R45)</f>
        <v>83541.597630171629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8.3280176991195933</v>
      </c>
      <c r="D49" s="973">
        <f ca="1">transport!C58</f>
        <v>0</v>
      </c>
      <c r="E49" s="973">
        <f>transport!D58</f>
        <v>0</v>
      </c>
      <c r="F49" s="973">
        <f>transport!E58</f>
        <v>0</v>
      </c>
      <c r="G49" s="973">
        <f>transport!F58</f>
        <v>0</v>
      </c>
      <c r="H49" s="973">
        <f>transport!G58</f>
        <v>1145.2044523584175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1153.532470057537</v>
      </c>
    </row>
    <row r="50" spans="1:18">
      <c r="A50" s="793" t="s">
        <v>301</v>
      </c>
      <c r="B50" s="803"/>
      <c r="C50" s="671">
        <f ca="1">transport!B18</f>
        <v>29.609640235705868</v>
      </c>
      <c r="D50" s="671">
        <f>transport!C18</f>
        <v>0</v>
      </c>
      <c r="E50" s="671">
        <f>transport!D18</f>
        <v>56.190557649631678</v>
      </c>
      <c r="F50" s="671">
        <f>transport!E18</f>
        <v>116.19530328517841</v>
      </c>
      <c r="G50" s="671">
        <f>transport!F18</f>
        <v>0</v>
      </c>
      <c r="H50" s="671">
        <f>transport!G18</f>
        <v>49615.553718242518</v>
      </c>
      <c r="I50" s="671">
        <f>transport!H18</f>
        <v>11234.130567590102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61051.679787003137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37.937657934825459</v>
      </c>
      <c r="D52" s="700">
        <f t="shared" ref="D52:Q52" ca="1" si="6">SUM(D48:D51)</f>
        <v>0</v>
      </c>
      <c r="E52" s="700">
        <f t="shared" si="6"/>
        <v>56.190557649631678</v>
      </c>
      <c r="F52" s="700">
        <f t="shared" si="6"/>
        <v>116.19530328517841</v>
      </c>
      <c r="G52" s="700">
        <f t="shared" si="6"/>
        <v>0</v>
      </c>
      <c r="H52" s="700">
        <f t="shared" si="6"/>
        <v>50760.758170600937</v>
      </c>
      <c r="I52" s="700">
        <f t="shared" si="6"/>
        <v>11234.130567590102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62205.212257060673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128.64317873354835</v>
      </c>
      <c r="D54" s="671">
        <f ca="1">+landbouw!C12</f>
        <v>0</v>
      </c>
      <c r="E54" s="671">
        <f>+landbouw!D12</f>
        <v>322.798828133347</v>
      </c>
      <c r="F54" s="671">
        <f>+landbouw!E12</f>
        <v>4.7058335997207843</v>
      </c>
      <c r="G54" s="671">
        <f>+landbouw!F12</f>
        <v>784.49627368943209</v>
      </c>
      <c r="H54" s="671">
        <f>+landbouw!G12</f>
        <v>0</v>
      </c>
      <c r="I54" s="671">
        <f>+landbouw!H12</f>
        <v>0</v>
      </c>
      <c r="J54" s="671">
        <f>+landbouw!I12</f>
        <v>0</v>
      </c>
      <c r="K54" s="671">
        <f>+landbouw!J12</f>
        <v>36.172062156004863</v>
      </c>
      <c r="L54" s="671">
        <f>+landbouw!K12</f>
        <v>0</v>
      </c>
      <c r="M54" s="671">
        <f>+landbouw!L12</f>
        <v>0</v>
      </c>
      <c r="N54" s="671">
        <f>+landbouw!M12</f>
        <v>0</v>
      </c>
      <c r="O54" s="671">
        <f>+landbouw!N12</f>
        <v>0</v>
      </c>
      <c r="P54" s="671">
        <f>+landbouw!O12</f>
        <v>0</v>
      </c>
      <c r="Q54" s="672">
        <f>+landbouw!P12</f>
        <v>0</v>
      </c>
      <c r="R54" s="699">
        <f ca="1">SUM(C54:Q54)</f>
        <v>1276.8161763120529</v>
      </c>
    </row>
    <row r="55" spans="1:18" ht="15" thickBot="1">
      <c r="A55" s="793" t="s">
        <v>808</v>
      </c>
      <c r="B55" s="803"/>
      <c r="C55" s="671">
        <f ca="1">C25*'EF ele_warmte'!B12</f>
        <v>262.79365989070908</v>
      </c>
      <c r="D55" s="671"/>
      <c r="E55" s="671">
        <f>E25*EF_CO2_aardgas</f>
        <v>2768.8238224316988</v>
      </c>
      <c r="F55" s="671"/>
      <c r="G55" s="671"/>
      <c r="H55" s="671"/>
      <c r="I55" s="671"/>
      <c r="J55" s="671"/>
      <c r="K55" s="671"/>
      <c r="L55" s="671"/>
      <c r="M55" s="671"/>
      <c r="N55" s="671"/>
      <c r="O55" s="671"/>
      <c r="P55" s="671"/>
      <c r="Q55" s="672"/>
      <c r="R55" s="699">
        <f ca="1">SUM(C55:Q55)</f>
        <v>3031.6174823224078</v>
      </c>
    </row>
    <row r="56" spans="1:18" ht="15.75" thickBot="1">
      <c r="A56" s="791" t="s">
        <v>809</v>
      </c>
      <c r="B56" s="804"/>
      <c r="C56" s="700">
        <f ca="1">SUM(C54:C55)</f>
        <v>391.43683862425746</v>
      </c>
      <c r="D56" s="700">
        <f t="shared" ref="D56:Q56" ca="1" si="7">SUM(D54:D55)</f>
        <v>0</v>
      </c>
      <c r="E56" s="700">
        <f t="shared" si="7"/>
        <v>3091.6226505650457</v>
      </c>
      <c r="F56" s="700">
        <f t="shared" si="7"/>
        <v>4.7058335997207843</v>
      </c>
      <c r="G56" s="700">
        <f t="shared" si="7"/>
        <v>784.49627368943209</v>
      </c>
      <c r="H56" s="700">
        <f t="shared" si="7"/>
        <v>0</v>
      </c>
      <c r="I56" s="700">
        <f t="shared" si="7"/>
        <v>0</v>
      </c>
      <c r="J56" s="700">
        <f t="shared" si="7"/>
        <v>0</v>
      </c>
      <c r="K56" s="700">
        <f t="shared" si="7"/>
        <v>36.172062156004863</v>
      </c>
      <c r="L56" s="700">
        <f t="shared" si="7"/>
        <v>0</v>
      </c>
      <c r="M56" s="700">
        <f t="shared" si="7"/>
        <v>0</v>
      </c>
      <c r="N56" s="700">
        <f t="shared" si="7"/>
        <v>0</v>
      </c>
      <c r="O56" s="700">
        <f t="shared" si="7"/>
        <v>0</v>
      </c>
      <c r="P56" s="700">
        <f t="shared" si="7"/>
        <v>0</v>
      </c>
      <c r="Q56" s="701">
        <f t="shared" si="7"/>
        <v>0</v>
      </c>
      <c r="R56" s="702">
        <f ca="1">SUM(R54:R55)</f>
        <v>4308.4336586344607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23014.484976574004</v>
      </c>
      <c r="D61" s="708">
        <f t="shared" ref="D61:Q61" ca="1" si="8">D46+D52+D56</f>
        <v>8.4025210084033635</v>
      </c>
      <c r="E61" s="708">
        <f t="shared" ca="1" si="8"/>
        <v>41950.013721234936</v>
      </c>
      <c r="F61" s="708">
        <f t="shared" si="8"/>
        <v>1268.9339861933408</v>
      </c>
      <c r="G61" s="708">
        <f t="shared" ca="1" si="8"/>
        <v>21653.77238649856</v>
      </c>
      <c r="H61" s="708">
        <f t="shared" si="8"/>
        <v>50760.758170600937</v>
      </c>
      <c r="I61" s="708">
        <f t="shared" si="8"/>
        <v>11234.130567590102</v>
      </c>
      <c r="J61" s="708">
        <f t="shared" si="8"/>
        <v>0</v>
      </c>
      <c r="K61" s="708">
        <f t="shared" si="8"/>
        <v>164.74721616647335</v>
      </c>
      <c r="L61" s="708">
        <f t="shared" si="8"/>
        <v>0</v>
      </c>
      <c r="M61" s="708">
        <f t="shared" ca="1" si="8"/>
        <v>0</v>
      </c>
      <c r="N61" s="708">
        <f t="shared" si="8"/>
        <v>0</v>
      </c>
      <c r="O61" s="708">
        <f t="shared" ca="1" si="8"/>
        <v>0</v>
      </c>
      <c r="P61" s="708">
        <f t="shared" si="8"/>
        <v>0</v>
      </c>
      <c r="Q61" s="708">
        <f t="shared" si="8"/>
        <v>0</v>
      </c>
      <c r="R61" s="708">
        <f ca="1">R46+R52+R56</f>
        <v>150055.24354586678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0.18239829378471317</v>
      </c>
      <c r="D63" s="749">
        <f t="shared" ca="1" si="9"/>
        <v>0.23764705882352943</v>
      </c>
      <c r="E63" s="984">
        <f t="shared" ca="1" si="9"/>
        <v>0.20199999999999996</v>
      </c>
      <c r="F63" s="749">
        <f t="shared" si="9"/>
        <v>0.22700000000000001</v>
      </c>
      <c r="G63" s="749">
        <f t="shared" ca="1" si="9"/>
        <v>0.26699999999999996</v>
      </c>
      <c r="H63" s="749">
        <f t="shared" si="9"/>
        <v>0.26700000000000002</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17482.848471334517</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4558.1595470174088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24.75</v>
      </c>
      <c r="D76" s="994">
        <f>'lokale energieproductie'!C8</f>
        <v>29.117647058823533</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5.8817647058823539</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22041.008018351924</v>
      </c>
      <c r="C78" s="723">
        <f>SUM(C72:C77)</f>
        <v>24.75</v>
      </c>
      <c r="D78" s="724">
        <f t="shared" ref="D78:H78" si="10">SUM(D76:D77)</f>
        <v>29.117647058823533</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5.8817647058823539</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35.357142857142861</v>
      </c>
      <c r="D87" s="745">
        <f>'lokale energieproductie'!C17</f>
        <v>41.596638655462193</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8.4025210084033635</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35.357142857142861</v>
      </c>
      <c r="D90" s="723">
        <f t="shared" ref="D90:H90" si="12">SUM(D87:D89)</f>
        <v>41.596638655462193</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8.4025210084033635</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52327.186352533106</v>
      </c>
      <c r="C4" s="445">
        <f>huishoudens!C8</f>
        <v>0</v>
      </c>
      <c r="D4" s="445">
        <f>huishoudens!D8</f>
        <v>135016.37120258316</v>
      </c>
      <c r="E4" s="445">
        <f>huishoudens!E8</f>
        <v>2532.8178322965209</v>
      </c>
      <c r="F4" s="445">
        <f>huishoudens!F8</f>
        <v>64170.250466265839</v>
      </c>
      <c r="G4" s="445">
        <f>huishoudens!G8</f>
        <v>0</v>
      </c>
      <c r="H4" s="445">
        <f>huishoudens!H8</f>
        <v>0</v>
      </c>
      <c r="I4" s="445">
        <f>huishoudens!I8</f>
        <v>0</v>
      </c>
      <c r="J4" s="445">
        <f>huishoudens!J8</f>
        <v>308.78004590610169</v>
      </c>
      <c r="K4" s="445">
        <f>huishoudens!K8</f>
        <v>0</v>
      </c>
      <c r="L4" s="445">
        <f>huishoudens!L8</f>
        <v>0</v>
      </c>
      <c r="M4" s="445">
        <f>huishoudens!M8</f>
        <v>0</v>
      </c>
      <c r="N4" s="445">
        <f>huishoudens!N8</f>
        <v>18945.48853405035</v>
      </c>
      <c r="O4" s="445">
        <f>huishoudens!O8</f>
        <v>148.51666666666668</v>
      </c>
      <c r="P4" s="446">
        <f>huishoudens!P8</f>
        <v>591.06666666666661</v>
      </c>
      <c r="Q4" s="447">
        <f>SUM(B4:P4)</f>
        <v>274040.47776696837</v>
      </c>
    </row>
    <row r="5" spans="1:17">
      <c r="A5" s="444" t="s">
        <v>155</v>
      </c>
      <c r="B5" s="445">
        <f ca="1">tertiair!B16</f>
        <v>46034.807471692198</v>
      </c>
      <c r="C5" s="445">
        <f ca="1">tertiair!C16</f>
        <v>35.357142857142861</v>
      </c>
      <c r="D5" s="445">
        <f ca="1">tertiair!D16</f>
        <v>37852.771028959367</v>
      </c>
      <c r="E5" s="445">
        <f>tertiair!E16</f>
        <v>858.5196071899212</v>
      </c>
      <c r="F5" s="445">
        <f ca="1">tertiair!F16</f>
        <v>8434.0039162003995</v>
      </c>
      <c r="G5" s="445">
        <f>tertiair!G16</f>
        <v>0</v>
      </c>
      <c r="H5" s="445">
        <f>tertiair!H16</f>
        <v>0</v>
      </c>
      <c r="I5" s="445">
        <f>tertiair!I16</f>
        <v>0</v>
      </c>
      <c r="J5" s="445">
        <f>tertiair!J16</f>
        <v>0.1302538743847815</v>
      </c>
      <c r="K5" s="445">
        <f>tertiair!K16</f>
        <v>0</v>
      </c>
      <c r="L5" s="445">
        <f ca="1">tertiair!L16</f>
        <v>0</v>
      </c>
      <c r="M5" s="445">
        <f>tertiair!M16</f>
        <v>0</v>
      </c>
      <c r="N5" s="445">
        <f ca="1">tertiair!N16</f>
        <v>5162.7755016785923</v>
      </c>
      <c r="O5" s="445">
        <f>tertiair!O16</f>
        <v>0</v>
      </c>
      <c r="P5" s="446">
        <f>tertiair!P16</f>
        <v>0</v>
      </c>
      <c r="Q5" s="444">
        <f t="shared" ref="Q5:Q14" ca="1" si="0">SUM(B5:P5)</f>
        <v>98378.36492245202</v>
      </c>
    </row>
    <row r="6" spans="1:17">
      <c r="A6" s="444" t="s">
        <v>193</v>
      </c>
      <c r="B6" s="445">
        <f>'openbare verlichting'!B8</f>
        <v>1814.76</v>
      </c>
      <c r="C6" s="445"/>
      <c r="D6" s="445"/>
      <c r="E6" s="445"/>
      <c r="F6" s="445"/>
      <c r="G6" s="445"/>
      <c r="H6" s="445"/>
      <c r="I6" s="445"/>
      <c r="J6" s="445"/>
      <c r="K6" s="445"/>
      <c r="L6" s="445"/>
      <c r="M6" s="445"/>
      <c r="N6" s="445"/>
      <c r="O6" s="445"/>
      <c r="P6" s="446"/>
      <c r="Q6" s="444">
        <f t="shared" si="0"/>
        <v>1814.76</v>
      </c>
    </row>
    <row r="7" spans="1:17">
      <c r="A7" s="444" t="s">
        <v>111</v>
      </c>
      <c r="B7" s="445">
        <f>landbouw!B8</f>
        <v>705.287182594961</v>
      </c>
      <c r="C7" s="445">
        <f>landbouw!C8</f>
        <v>0</v>
      </c>
      <c r="D7" s="445">
        <f>landbouw!D8</f>
        <v>1598.0140006601337</v>
      </c>
      <c r="E7" s="445">
        <f>landbouw!E8</f>
        <v>20.730544492162043</v>
      </c>
      <c r="F7" s="445">
        <f>landbouw!F8</f>
        <v>2938.1882909716555</v>
      </c>
      <c r="G7" s="445">
        <f>landbouw!G8</f>
        <v>0</v>
      </c>
      <c r="H7" s="445">
        <f>landbouw!H8</f>
        <v>0</v>
      </c>
      <c r="I7" s="445">
        <f>landbouw!I8</f>
        <v>0</v>
      </c>
      <c r="J7" s="445">
        <f>landbouw!J8</f>
        <v>102.18096654238661</v>
      </c>
      <c r="K7" s="445">
        <f>landbouw!K8</f>
        <v>0</v>
      </c>
      <c r="L7" s="445">
        <f>landbouw!L8</f>
        <v>0</v>
      </c>
      <c r="M7" s="445">
        <f>landbouw!M8</f>
        <v>0</v>
      </c>
      <c r="N7" s="445">
        <f>landbouw!N8</f>
        <v>0</v>
      </c>
      <c r="O7" s="445">
        <f>landbouw!O8</f>
        <v>0</v>
      </c>
      <c r="P7" s="446">
        <f>landbouw!P8</f>
        <v>0</v>
      </c>
      <c r="Q7" s="444">
        <f t="shared" si="0"/>
        <v>5364.400985261298</v>
      </c>
    </row>
    <row r="8" spans="1:17">
      <c r="A8" s="444" t="s">
        <v>627</v>
      </c>
      <c r="B8" s="445">
        <f>industrie!B18</f>
        <v>23646.282079127981</v>
      </c>
      <c r="C8" s="445">
        <f>industrie!C18</f>
        <v>0</v>
      </c>
      <c r="D8" s="445">
        <f>industrie!D18</f>
        <v>19220.95931806272</v>
      </c>
      <c r="E8" s="445">
        <f>industrie!E18</f>
        <v>1666.0759935903934</v>
      </c>
      <c r="F8" s="445">
        <f>industrie!F18</f>
        <v>5557.8284370436104</v>
      </c>
      <c r="G8" s="445">
        <f>industrie!G18</f>
        <v>0</v>
      </c>
      <c r="H8" s="445">
        <f>industrie!H18</f>
        <v>0</v>
      </c>
      <c r="I8" s="445">
        <f>industrie!I18</f>
        <v>0</v>
      </c>
      <c r="J8" s="445">
        <f>industrie!J18</f>
        <v>54.296349966599699</v>
      </c>
      <c r="K8" s="445">
        <f>industrie!K18</f>
        <v>0</v>
      </c>
      <c r="L8" s="445">
        <f>industrie!L18</f>
        <v>0</v>
      </c>
      <c r="M8" s="445">
        <f>industrie!M18</f>
        <v>0</v>
      </c>
      <c r="N8" s="445">
        <f>industrie!N18</f>
        <v>2174.9288451877883</v>
      </c>
      <c r="O8" s="445">
        <f>industrie!O18</f>
        <v>0</v>
      </c>
      <c r="P8" s="446">
        <f>industrie!P18</f>
        <v>0</v>
      </c>
      <c r="Q8" s="444">
        <f t="shared" si="0"/>
        <v>52320.371022979089</v>
      </c>
    </row>
    <row r="9" spans="1:17" s="450" customFormat="1">
      <c r="A9" s="448" t="s">
        <v>553</v>
      </c>
      <c r="B9" s="449">
        <f>transport!B14</f>
        <v>162.33507244675471</v>
      </c>
      <c r="C9" s="449">
        <f>transport!C14</f>
        <v>0</v>
      </c>
      <c r="D9" s="449">
        <f>transport!D14</f>
        <v>278.17107747342413</v>
      </c>
      <c r="E9" s="449">
        <f>transport!E14</f>
        <v>511.87358275408991</v>
      </c>
      <c r="F9" s="449">
        <f>transport!F14</f>
        <v>0</v>
      </c>
      <c r="G9" s="449">
        <f>transport!G14</f>
        <v>185826.04388854874</v>
      </c>
      <c r="H9" s="449">
        <f>transport!H14</f>
        <v>45116.990231285548</v>
      </c>
      <c r="I9" s="449">
        <f>transport!I14</f>
        <v>0</v>
      </c>
      <c r="J9" s="449">
        <f>transport!J14</f>
        <v>0</v>
      </c>
      <c r="K9" s="449">
        <f>transport!K14</f>
        <v>0</v>
      </c>
      <c r="L9" s="449">
        <f>transport!L14</f>
        <v>0</v>
      </c>
      <c r="M9" s="449">
        <f>transport!M14</f>
        <v>12185.234755101961</v>
      </c>
      <c r="N9" s="449">
        <f>transport!N14</f>
        <v>0</v>
      </c>
      <c r="O9" s="449">
        <f>transport!O14</f>
        <v>0</v>
      </c>
      <c r="P9" s="449">
        <f>transport!P14</f>
        <v>0</v>
      </c>
      <c r="Q9" s="448">
        <f>SUM(B9:P9)</f>
        <v>244080.64860761052</v>
      </c>
    </row>
    <row r="10" spans="1:17">
      <c r="A10" s="444" t="s">
        <v>543</v>
      </c>
      <c r="B10" s="445">
        <f>transport!B54</f>
        <v>45.65841887177546</v>
      </c>
      <c r="C10" s="445">
        <f>transport!C54</f>
        <v>0</v>
      </c>
      <c r="D10" s="445">
        <f>transport!D54</f>
        <v>0</v>
      </c>
      <c r="E10" s="445">
        <f>transport!E54</f>
        <v>0</v>
      </c>
      <c r="F10" s="445">
        <f>transport!F54</f>
        <v>0</v>
      </c>
      <c r="G10" s="445">
        <f>transport!G54</f>
        <v>4289.1552522787169</v>
      </c>
      <c r="H10" s="445">
        <f>transport!H54</f>
        <v>0</v>
      </c>
      <c r="I10" s="445">
        <f>transport!I54</f>
        <v>0</v>
      </c>
      <c r="J10" s="445">
        <f>transport!J54</f>
        <v>0</v>
      </c>
      <c r="K10" s="445">
        <f>transport!K54</f>
        <v>0</v>
      </c>
      <c r="L10" s="445">
        <f>transport!L54</f>
        <v>0</v>
      </c>
      <c r="M10" s="445">
        <f>transport!M54</f>
        <v>246.99957272134847</v>
      </c>
      <c r="N10" s="445">
        <f>transport!N54</f>
        <v>0</v>
      </c>
      <c r="O10" s="445">
        <f>transport!O54</f>
        <v>0</v>
      </c>
      <c r="P10" s="446">
        <f>transport!P54</f>
        <v>0</v>
      </c>
      <c r="Q10" s="444">
        <f t="shared" si="0"/>
        <v>4581.8132438718403</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1440.76819161964</v>
      </c>
      <c r="C14" s="452"/>
      <c r="D14" s="452">
        <f>'SEAP template'!E25</f>
        <v>13707.048625899499</v>
      </c>
      <c r="E14" s="452"/>
      <c r="F14" s="452"/>
      <c r="G14" s="452"/>
      <c r="H14" s="452"/>
      <c r="I14" s="452"/>
      <c r="J14" s="452"/>
      <c r="K14" s="452"/>
      <c r="L14" s="452"/>
      <c r="M14" s="452"/>
      <c r="N14" s="452"/>
      <c r="O14" s="452"/>
      <c r="P14" s="453"/>
      <c r="Q14" s="444">
        <f t="shared" si="0"/>
        <v>15147.816817519139</v>
      </c>
    </row>
    <row r="15" spans="1:17" s="454" customFormat="1">
      <c r="A15" s="999" t="s">
        <v>547</v>
      </c>
      <c r="B15" s="947">
        <f ca="1">SUM(B4:B14)</f>
        <v>126177.08476888642</v>
      </c>
      <c r="C15" s="947">
        <f t="shared" ref="C15:Q15" ca="1" si="1">SUM(C4:C14)</f>
        <v>35.357142857142861</v>
      </c>
      <c r="D15" s="947">
        <f t="shared" ca="1" si="1"/>
        <v>207673.33525363833</v>
      </c>
      <c r="E15" s="947">
        <f t="shared" si="1"/>
        <v>5590.0175603230873</v>
      </c>
      <c r="F15" s="947">
        <f t="shared" ca="1" si="1"/>
        <v>81100.27111048151</v>
      </c>
      <c r="G15" s="947">
        <f t="shared" si="1"/>
        <v>190115.19914082746</v>
      </c>
      <c r="H15" s="947">
        <f t="shared" si="1"/>
        <v>45116.990231285548</v>
      </c>
      <c r="I15" s="947">
        <f t="shared" si="1"/>
        <v>0</v>
      </c>
      <c r="J15" s="947">
        <f t="shared" si="1"/>
        <v>465.38761628947276</v>
      </c>
      <c r="K15" s="947">
        <f t="shared" si="1"/>
        <v>0</v>
      </c>
      <c r="L15" s="947">
        <f t="shared" ca="1" si="1"/>
        <v>0</v>
      </c>
      <c r="M15" s="947">
        <f t="shared" si="1"/>
        <v>12432.234327823309</v>
      </c>
      <c r="N15" s="947">
        <f t="shared" ca="1" si="1"/>
        <v>26283.192880916729</v>
      </c>
      <c r="O15" s="947">
        <f t="shared" si="1"/>
        <v>148.51666666666668</v>
      </c>
      <c r="P15" s="947">
        <f t="shared" si="1"/>
        <v>591.06666666666661</v>
      </c>
      <c r="Q15" s="947">
        <f t="shared" ca="1" si="1"/>
        <v>695728.65336666221</v>
      </c>
    </row>
    <row r="17" spans="1:17">
      <c r="A17" s="455" t="s">
        <v>548</v>
      </c>
      <c r="B17" s="754">
        <f ca="1">huishoudens!B10</f>
        <v>0.1823982937847132</v>
      </c>
      <c r="C17" s="754">
        <f ca="1">huishoudens!C10</f>
        <v>0.23764705882352943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9544.3895092567691</v>
      </c>
      <c r="C22" s="445">
        <f t="shared" ref="C22:C32" ca="1" si="3">C4*$C$17</f>
        <v>0</v>
      </c>
      <c r="D22" s="445">
        <f t="shared" ref="D22:D32" si="4">D4*$D$17</f>
        <v>27273.3069829218</v>
      </c>
      <c r="E22" s="445">
        <f t="shared" ref="E22:E32" si="5">E4*$E$17</f>
        <v>574.94964793131032</v>
      </c>
      <c r="F22" s="445">
        <f t="shared" ref="F22:F32" si="6">F4*$F$17</f>
        <v>17133.456874492978</v>
      </c>
      <c r="G22" s="445">
        <f t="shared" ref="G22:G32" si="7">G4*$G$17</f>
        <v>0</v>
      </c>
      <c r="H22" s="445">
        <f t="shared" ref="H22:H32" si="8">H4*$H$17</f>
        <v>0</v>
      </c>
      <c r="I22" s="445">
        <f t="shared" ref="I22:I32" si="9">I4*$I$17</f>
        <v>0</v>
      </c>
      <c r="J22" s="445">
        <f t="shared" ref="J22:J32" si="10">J4*$J$17</f>
        <v>109.30813625075999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54635.411150853615</v>
      </c>
    </row>
    <row r="23" spans="1:17">
      <c r="A23" s="444" t="s">
        <v>155</v>
      </c>
      <c r="B23" s="445">
        <f t="shared" ca="1" si="2"/>
        <v>8396.6703375444231</v>
      </c>
      <c r="C23" s="445">
        <f t="shared" ca="1" si="3"/>
        <v>8.4025210084033635</v>
      </c>
      <c r="D23" s="445">
        <f t="shared" ca="1" si="4"/>
        <v>7646.2597478497928</v>
      </c>
      <c r="E23" s="445">
        <f t="shared" si="5"/>
        <v>194.88395083211211</v>
      </c>
      <c r="F23" s="445">
        <f t="shared" ca="1" si="6"/>
        <v>2251.8790456255069</v>
      </c>
      <c r="G23" s="445">
        <f t="shared" si="7"/>
        <v>0</v>
      </c>
      <c r="H23" s="445">
        <f t="shared" si="8"/>
        <v>0</v>
      </c>
      <c r="I23" s="445">
        <f t="shared" si="9"/>
        <v>0</v>
      </c>
      <c r="J23" s="445">
        <f t="shared" si="10"/>
        <v>4.6109871532212653E-2</v>
      </c>
      <c r="K23" s="445">
        <f t="shared" si="11"/>
        <v>0</v>
      </c>
      <c r="L23" s="445">
        <f t="shared" ca="1" si="12"/>
        <v>0</v>
      </c>
      <c r="M23" s="445">
        <f t="shared" si="13"/>
        <v>0</v>
      </c>
      <c r="N23" s="445">
        <f t="shared" ca="1" si="14"/>
        <v>0</v>
      </c>
      <c r="O23" s="445">
        <f t="shared" si="15"/>
        <v>0</v>
      </c>
      <c r="P23" s="446">
        <f t="shared" si="16"/>
        <v>0</v>
      </c>
      <c r="Q23" s="444">
        <f t="shared" ref="Q23:Q32" ca="1" si="17">SUM(B23:P23)</f>
        <v>18498.141712731769</v>
      </c>
    </row>
    <row r="24" spans="1:17">
      <c r="A24" s="444" t="s">
        <v>193</v>
      </c>
      <c r="B24" s="445">
        <f t="shared" ca="1" si="2"/>
        <v>331.00912762874611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331.00912762874611</v>
      </c>
    </row>
    <row r="25" spans="1:17">
      <c r="A25" s="444" t="s">
        <v>111</v>
      </c>
      <c r="B25" s="445">
        <f t="shared" ca="1" si="2"/>
        <v>128.64317873354835</v>
      </c>
      <c r="C25" s="445">
        <f t="shared" ca="1" si="3"/>
        <v>0</v>
      </c>
      <c r="D25" s="445">
        <f t="shared" si="4"/>
        <v>322.798828133347</v>
      </c>
      <c r="E25" s="445">
        <f t="shared" si="5"/>
        <v>4.7058335997207843</v>
      </c>
      <c r="F25" s="445">
        <f t="shared" si="6"/>
        <v>784.49627368943209</v>
      </c>
      <c r="G25" s="445">
        <f t="shared" si="7"/>
        <v>0</v>
      </c>
      <c r="H25" s="445">
        <f t="shared" si="8"/>
        <v>0</v>
      </c>
      <c r="I25" s="445">
        <f t="shared" si="9"/>
        <v>0</v>
      </c>
      <c r="J25" s="445">
        <f t="shared" si="10"/>
        <v>36.172062156004863</v>
      </c>
      <c r="K25" s="445">
        <f t="shared" si="11"/>
        <v>0</v>
      </c>
      <c r="L25" s="445">
        <f t="shared" si="12"/>
        <v>0</v>
      </c>
      <c r="M25" s="445">
        <f t="shared" si="13"/>
        <v>0</v>
      </c>
      <c r="N25" s="445">
        <f t="shared" si="14"/>
        <v>0</v>
      </c>
      <c r="O25" s="445">
        <f t="shared" si="15"/>
        <v>0</v>
      </c>
      <c r="P25" s="446">
        <f t="shared" si="16"/>
        <v>0</v>
      </c>
      <c r="Q25" s="444">
        <f t="shared" ca="1" si="17"/>
        <v>1276.8161763120529</v>
      </c>
    </row>
    <row r="26" spans="1:17">
      <c r="A26" s="444" t="s">
        <v>627</v>
      </c>
      <c r="B26" s="445">
        <f t="shared" ca="1" si="2"/>
        <v>4313.0415055849844</v>
      </c>
      <c r="C26" s="445">
        <f t="shared" ca="1" si="3"/>
        <v>0</v>
      </c>
      <c r="D26" s="445">
        <f t="shared" si="4"/>
        <v>3882.6337822486698</v>
      </c>
      <c r="E26" s="445">
        <f t="shared" si="5"/>
        <v>378.19925054501931</v>
      </c>
      <c r="F26" s="445">
        <f t="shared" si="6"/>
        <v>1483.9401926906442</v>
      </c>
      <c r="G26" s="445">
        <f t="shared" si="7"/>
        <v>0</v>
      </c>
      <c r="H26" s="445">
        <f t="shared" si="8"/>
        <v>0</v>
      </c>
      <c r="I26" s="445">
        <f t="shared" si="9"/>
        <v>0</v>
      </c>
      <c r="J26" s="445">
        <f t="shared" si="10"/>
        <v>19.220907888176292</v>
      </c>
      <c r="K26" s="445">
        <f t="shared" si="11"/>
        <v>0</v>
      </c>
      <c r="L26" s="445">
        <f t="shared" si="12"/>
        <v>0</v>
      </c>
      <c r="M26" s="445">
        <f t="shared" si="13"/>
        <v>0</v>
      </c>
      <c r="N26" s="445">
        <f t="shared" si="14"/>
        <v>0</v>
      </c>
      <c r="O26" s="445">
        <f t="shared" si="15"/>
        <v>0</v>
      </c>
      <c r="P26" s="446">
        <f t="shared" si="16"/>
        <v>0</v>
      </c>
      <c r="Q26" s="444">
        <f t="shared" ca="1" si="17"/>
        <v>10077.035638957495</v>
      </c>
    </row>
    <row r="27" spans="1:17" s="450" customFormat="1">
      <c r="A27" s="448" t="s">
        <v>553</v>
      </c>
      <c r="B27" s="748">
        <f t="shared" ca="1" si="2"/>
        <v>29.609640235705868</v>
      </c>
      <c r="C27" s="449">
        <f t="shared" ca="1" si="3"/>
        <v>0</v>
      </c>
      <c r="D27" s="449">
        <f t="shared" si="4"/>
        <v>56.190557649631678</v>
      </c>
      <c r="E27" s="449">
        <f t="shared" si="5"/>
        <v>116.19530328517841</v>
      </c>
      <c r="F27" s="449">
        <f t="shared" si="6"/>
        <v>0</v>
      </c>
      <c r="G27" s="449">
        <f t="shared" si="7"/>
        <v>49615.553718242518</v>
      </c>
      <c r="H27" s="449">
        <f t="shared" si="8"/>
        <v>11234.130567590102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61051.679787003137</v>
      </c>
    </row>
    <row r="28" spans="1:17">
      <c r="A28" s="444" t="s">
        <v>543</v>
      </c>
      <c r="B28" s="445">
        <f t="shared" ca="1" si="2"/>
        <v>8.3280176991195933</v>
      </c>
      <c r="C28" s="445">
        <f t="shared" ca="1" si="3"/>
        <v>0</v>
      </c>
      <c r="D28" s="445">
        <f t="shared" si="4"/>
        <v>0</v>
      </c>
      <c r="E28" s="445">
        <f t="shared" si="5"/>
        <v>0</v>
      </c>
      <c r="F28" s="445">
        <f t="shared" si="6"/>
        <v>0</v>
      </c>
      <c r="G28" s="445">
        <f t="shared" si="7"/>
        <v>1145.2044523584175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1153.532470057537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262.79365989070908</v>
      </c>
      <c r="C32" s="445">
        <f t="shared" ca="1" si="3"/>
        <v>0</v>
      </c>
      <c r="D32" s="445">
        <f t="shared" si="4"/>
        <v>2768.8238224316988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3031.6174823224078</v>
      </c>
    </row>
    <row r="33" spans="1:17" s="454" customFormat="1">
      <c r="A33" s="999" t="s">
        <v>547</v>
      </c>
      <c r="B33" s="947">
        <f ca="1">SUM(B22:B32)</f>
        <v>23014.484976574011</v>
      </c>
      <c r="C33" s="947">
        <f t="shared" ref="C33:Q33" ca="1" si="18">SUM(C22:C32)</f>
        <v>8.4025210084033635</v>
      </c>
      <c r="D33" s="947">
        <f t="shared" ca="1" si="18"/>
        <v>41950.013721234929</v>
      </c>
      <c r="E33" s="947">
        <f t="shared" si="18"/>
        <v>1268.9339861933408</v>
      </c>
      <c r="F33" s="947">
        <f t="shared" ca="1" si="18"/>
        <v>21653.77238649856</v>
      </c>
      <c r="G33" s="947">
        <f t="shared" si="18"/>
        <v>50760.758170600937</v>
      </c>
      <c r="H33" s="947">
        <f t="shared" si="18"/>
        <v>11234.130567590102</v>
      </c>
      <c r="I33" s="947">
        <f t="shared" si="18"/>
        <v>0</v>
      </c>
      <c r="J33" s="947">
        <f t="shared" si="18"/>
        <v>164.74721616647335</v>
      </c>
      <c r="K33" s="947">
        <f t="shared" si="18"/>
        <v>0</v>
      </c>
      <c r="L33" s="947">
        <f t="shared" ca="1" si="18"/>
        <v>0</v>
      </c>
      <c r="M33" s="947">
        <f t="shared" si="18"/>
        <v>0</v>
      </c>
      <c r="N33" s="947">
        <f t="shared" ca="1" si="18"/>
        <v>0</v>
      </c>
      <c r="O33" s="947">
        <f t="shared" si="18"/>
        <v>0</v>
      </c>
      <c r="P33" s="947">
        <f t="shared" si="18"/>
        <v>0</v>
      </c>
      <c r="Q33" s="947">
        <f t="shared" ca="1" si="18"/>
        <v>150055.24354586678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17482.848471334517</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4558.1595470174088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24.75</v>
      </c>
      <c r="D8" s="1016">
        <f>'SEAP template'!D76</f>
        <v>29.117647058823533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5.8817647058823539</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22041.008018351924</v>
      </c>
      <c r="C10" s="1020">
        <f>SUM(C4:C9)</f>
        <v>24.75</v>
      </c>
      <c r="D10" s="1020">
        <f t="shared" ref="D10:H10" si="0">SUM(D8:D9)</f>
        <v>29.117647058823533</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5.8817647058823539</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0.1823982937847132</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35.357142857142861</v>
      </c>
      <c r="D17" s="1017">
        <f>'SEAP template'!D87</f>
        <v>41.596638655462193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8.4025210084033635</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35.357142857142861</v>
      </c>
      <c r="D20" s="1020">
        <f t="shared" ref="D20:H20" si="2">SUM(D17:D19)</f>
        <v>41.596638655462193</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8.4025210084033635</v>
      </c>
    </row>
    <row r="22" spans="1:16">
      <c r="A22" s="455" t="s">
        <v>833</v>
      </c>
      <c r="B22" s="754" t="s">
        <v>827</v>
      </c>
      <c r="C22" s="75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0.1823982937847132</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0.1823982937847132</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0.1823982937847132</v>
      </c>
      <c r="C29" s="493">
        <f ca="1">'EF ele_warmte'!B22</f>
        <v>0.23764705882352943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13209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2042.6</v>
      </c>
      <c r="C14" s="324"/>
      <c r="D14" s="324"/>
      <c r="E14" s="324"/>
      <c r="F14" s="324"/>
    </row>
    <row r="15" spans="1:6">
      <c r="A15" s="1291" t="s">
        <v>183</v>
      </c>
      <c r="B15" s="1292">
        <v>8</v>
      </c>
      <c r="C15" s="324"/>
      <c r="D15" s="324"/>
      <c r="E15" s="324"/>
      <c r="F15" s="324"/>
    </row>
    <row r="16" spans="1:6">
      <c r="A16" s="1291" t="s">
        <v>6</v>
      </c>
      <c r="B16" s="1292">
        <v>176</v>
      </c>
      <c r="C16" s="324"/>
      <c r="D16" s="324"/>
      <c r="E16" s="324"/>
      <c r="F16" s="324"/>
    </row>
    <row r="17" spans="1:6">
      <c r="A17" s="1291" t="s">
        <v>7</v>
      </c>
      <c r="B17" s="1292">
        <v>799</v>
      </c>
      <c r="C17" s="324"/>
      <c r="D17" s="324"/>
      <c r="E17" s="324"/>
      <c r="F17" s="324"/>
    </row>
    <row r="18" spans="1:6">
      <c r="A18" s="1291" t="s">
        <v>8</v>
      </c>
      <c r="B18" s="1292">
        <v>692</v>
      </c>
      <c r="C18" s="324"/>
      <c r="D18" s="324"/>
      <c r="E18" s="324"/>
      <c r="F18" s="324"/>
    </row>
    <row r="19" spans="1:6">
      <c r="A19" s="1291" t="s">
        <v>9</v>
      </c>
      <c r="B19" s="1292">
        <v>558</v>
      </c>
      <c r="C19" s="324"/>
      <c r="D19" s="324"/>
      <c r="E19" s="324"/>
      <c r="F19" s="324"/>
    </row>
    <row r="20" spans="1:6">
      <c r="A20" s="1291" t="s">
        <v>10</v>
      </c>
      <c r="B20" s="1292">
        <v>561</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293</v>
      </c>
      <c r="C26" s="324"/>
      <c r="D26" s="324"/>
      <c r="E26" s="324"/>
      <c r="F26" s="324"/>
    </row>
    <row r="27" spans="1:6">
      <c r="A27" s="1291" t="s">
        <v>17</v>
      </c>
      <c r="B27" s="1292">
        <v>0</v>
      </c>
      <c r="C27" s="324"/>
      <c r="D27" s="324"/>
      <c r="E27" s="324"/>
      <c r="F27" s="324"/>
    </row>
    <row r="28" spans="1:6" s="43" customFormat="1">
      <c r="A28" s="1293" t="s">
        <v>18</v>
      </c>
      <c r="B28" s="1294">
        <v>5057</v>
      </c>
      <c r="C28" s="330"/>
      <c r="D28" s="330"/>
      <c r="E28" s="330"/>
      <c r="F28" s="330"/>
    </row>
    <row r="29" spans="1:6">
      <c r="A29" s="1293" t="s">
        <v>722</v>
      </c>
      <c r="B29" s="1294">
        <v>141</v>
      </c>
      <c r="C29" s="330"/>
      <c r="D29" s="330"/>
      <c r="E29" s="330"/>
      <c r="F29" s="330"/>
    </row>
    <row r="30" spans="1:6">
      <c r="A30" s="1286" t="s">
        <v>723</v>
      </c>
      <c r="B30" s="1295">
        <v>41</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308664.807417006</v>
      </c>
    </row>
    <row r="36" spans="1:6">
      <c r="A36" s="1291" t="s">
        <v>24</v>
      </c>
      <c r="B36" s="1291" t="s">
        <v>26</v>
      </c>
      <c r="C36" s="1292">
        <v>8</v>
      </c>
      <c r="D36" s="1292">
        <v>1325632.13959259</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888624.38310239196</v>
      </c>
      <c r="E38" s="1292">
        <v>7</v>
      </c>
      <c r="F38" s="1292">
        <v>63362.749895999601</v>
      </c>
    </row>
    <row r="39" spans="1:6">
      <c r="A39" s="1291" t="s">
        <v>29</v>
      </c>
      <c r="B39" s="1291" t="s">
        <v>30</v>
      </c>
      <c r="C39" s="1292">
        <v>9287</v>
      </c>
      <c r="D39" s="1292">
        <v>149654837.57043299</v>
      </c>
      <c r="E39" s="1292">
        <v>13435</v>
      </c>
      <c r="F39" s="1292">
        <v>49434811.303378597</v>
      </c>
    </row>
    <row r="40" spans="1:6">
      <c r="A40" s="1291" t="s">
        <v>29</v>
      </c>
      <c r="B40" s="1291" t="s">
        <v>28</v>
      </c>
      <c r="C40" s="1292">
        <v>1</v>
      </c>
      <c r="D40" s="1292">
        <v>30718.086532817601</v>
      </c>
      <c r="E40" s="1292">
        <v>2</v>
      </c>
      <c r="F40" s="1292">
        <v>11635.282473901099</v>
      </c>
    </row>
    <row r="41" spans="1:6">
      <c r="A41" s="1291" t="s">
        <v>31</v>
      </c>
      <c r="B41" s="1291" t="s">
        <v>32</v>
      </c>
      <c r="C41" s="1292">
        <v>72</v>
      </c>
      <c r="D41" s="1292">
        <v>1781158.4807490499</v>
      </c>
      <c r="E41" s="1292">
        <v>181</v>
      </c>
      <c r="F41" s="1292">
        <v>2800176.5041511501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20</v>
      </c>
      <c r="F44" s="1292">
        <v>373956.55539044703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8</v>
      </c>
      <c r="F47" s="1292">
        <v>1529206.6613346101</v>
      </c>
    </row>
    <row r="48" spans="1:6">
      <c r="A48" s="1291" t="s">
        <v>31</v>
      </c>
      <c r="B48" s="1291" t="s">
        <v>28</v>
      </c>
      <c r="C48" s="1292">
        <v>51</v>
      </c>
      <c r="D48" s="1292">
        <v>19298606.063206099</v>
      </c>
      <c r="E48" s="1292">
        <v>68</v>
      </c>
      <c r="F48" s="1292">
        <v>15100595.236495901</v>
      </c>
    </row>
    <row r="49" spans="1:6">
      <c r="A49" s="1291" t="s">
        <v>31</v>
      </c>
      <c r="B49" s="1291" t="s">
        <v>39</v>
      </c>
      <c r="C49" s="1292">
        <v>0</v>
      </c>
      <c r="D49" s="1292">
        <v>0</v>
      </c>
      <c r="E49" s="1292">
        <v>0</v>
      </c>
      <c r="F49" s="1292">
        <v>0</v>
      </c>
    </row>
    <row r="50" spans="1:6">
      <c r="A50" s="1291" t="s">
        <v>31</v>
      </c>
      <c r="B50" s="1291" t="s">
        <v>40</v>
      </c>
      <c r="C50" s="1292">
        <v>4</v>
      </c>
      <c r="D50" s="1292">
        <v>229502.99269974901</v>
      </c>
      <c r="E50" s="1292">
        <v>12</v>
      </c>
      <c r="F50" s="1292">
        <v>3842347.1217558701</v>
      </c>
    </row>
    <row r="51" spans="1:6">
      <c r="A51" s="1291" t="s">
        <v>41</v>
      </c>
      <c r="B51" s="1291" t="s">
        <v>42</v>
      </c>
      <c r="C51" s="1292">
        <v>10</v>
      </c>
      <c r="D51" s="1292">
        <v>276065.37266720901</v>
      </c>
      <c r="E51" s="1292">
        <v>89</v>
      </c>
      <c r="F51" s="1292">
        <v>601717.33871188702</v>
      </c>
    </row>
    <row r="52" spans="1:6">
      <c r="A52" s="1291" t="s">
        <v>41</v>
      </c>
      <c r="B52" s="1291" t="s">
        <v>28</v>
      </c>
      <c r="C52" s="1292">
        <v>10</v>
      </c>
      <c r="D52" s="1292">
        <v>1495568.7744061099</v>
      </c>
      <c r="E52" s="1292">
        <v>6</v>
      </c>
      <c r="F52" s="1292">
        <v>103569.84388307401</v>
      </c>
    </row>
    <row r="53" spans="1:6">
      <c r="A53" s="1291" t="s">
        <v>43</v>
      </c>
      <c r="B53" s="1291" t="s">
        <v>44</v>
      </c>
      <c r="C53" s="1292">
        <v>217</v>
      </c>
      <c r="D53" s="1292">
        <v>13707048.625899499</v>
      </c>
      <c r="E53" s="1292">
        <v>474</v>
      </c>
      <c r="F53" s="1292">
        <v>1440768.19161964</v>
      </c>
    </row>
    <row r="54" spans="1:6">
      <c r="A54" s="1291" t="s">
        <v>45</v>
      </c>
      <c r="B54" s="1291" t="s">
        <v>46</v>
      </c>
      <c r="C54" s="1292">
        <v>0</v>
      </c>
      <c r="D54" s="1292">
        <v>0</v>
      </c>
      <c r="E54" s="1292">
        <v>1</v>
      </c>
      <c r="F54" s="1292">
        <v>1814760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58</v>
      </c>
      <c r="D57" s="1292">
        <v>6186277.0842786599</v>
      </c>
      <c r="E57" s="1292">
        <v>172</v>
      </c>
      <c r="F57" s="1292">
        <v>4365387.6499556396</v>
      </c>
    </row>
    <row r="58" spans="1:6">
      <c r="A58" s="1291" t="s">
        <v>48</v>
      </c>
      <c r="B58" s="1291" t="s">
        <v>50</v>
      </c>
      <c r="C58" s="1292">
        <v>11</v>
      </c>
      <c r="D58" s="1292">
        <v>375681.34910900501</v>
      </c>
      <c r="E58" s="1292">
        <v>30</v>
      </c>
      <c r="F58" s="1292">
        <v>283327.36967811798</v>
      </c>
    </row>
    <row r="59" spans="1:6">
      <c r="A59" s="1291" t="s">
        <v>48</v>
      </c>
      <c r="B59" s="1291" t="s">
        <v>51</v>
      </c>
      <c r="C59" s="1292">
        <v>141</v>
      </c>
      <c r="D59" s="1292">
        <v>10507419.9995184</v>
      </c>
      <c r="E59" s="1292">
        <v>327</v>
      </c>
      <c r="F59" s="1292">
        <v>17667035.799335599</v>
      </c>
    </row>
    <row r="60" spans="1:6">
      <c r="A60" s="1291" t="s">
        <v>48</v>
      </c>
      <c r="B60" s="1291" t="s">
        <v>52</v>
      </c>
      <c r="C60" s="1292">
        <v>63</v>
      </c>
      <c r="D60" s="1292">
        <v>2595439.6288711601</v>
      </c>
      <c r="E60" s="1292">
        <v>87</v>
      </c>
      <c r="F60" s="1292">
        <v>2031051.23271959</v>
      </c>
    </row>
    <row r="61" spans="1:6">
      <c r="A61" s="1291" t="s">
        <v>48</v>
      </c>
      <c r="B61" s="1291" t="s">
        <v>53</v>
      </c>
      <c r="C61" s="1292">
        <v>142</v>
      </c>
      <c r="D61" s="1292">
        <v>7633785.6733528404</v>
      </c>
      <c r="E61" s="1292">
        <v>453</v>
      </c>
      <c r="F61" s="1292">
        <v>6914396.26662648</v>
      </c>
    </row>
    <row r="62" spans="1:6">
      <c r="A62" s="1291" t="s">
        <v>48</v>
      </c>
      <c r="B62" s="1291" t="s">
        <v>54</v>
      </c>
      <c r="C62" s="1292">
        <v>0</v>
      </c>
      <c r="D62" s="1292">
        <v>0</v>
      </c>
      <c r="E62" s="1292">
        <v>6</v>
      </c>
      <c r="F62" s="1292">
        <v>89329.772471675606</v>
      </c>
    </row>
    <row r="63" spans="1:6">
      <c r="A63" s="1291" t="s">
        <v>48</v>
      </c>
      <c r="B63" s="1291" t="s">
        <v>28</v>
      </c>
      <c r="C63" s="1292">
        <v>198</v>
      </c>
      <c r="D63" s="1292">
        <v>14745171.5582997</v>
      </c>
      <c r="E63" s="1292">
        <v>253</v>
      </c>
      <c r="F63" s="1292">
        <v>14659529.380905099</v>
      </c>
    </row>
    <row r="64" spans="1:6">
      <c r="A64" s="1291" t="s">
        <v>55</v>
      </c>
      <c r="B64" s="1291" t="s">
        <v>56</v>
      </c>
      <c r="C64" s="1292">
        <v>0</v>
      </c>
      <c r="D64" s="1292">
        <v>0</v>
      </c>
      <c r="E64" s="1292">
        <v>0</v>
      </c>
      <c r="F64" s="1292">
        <v>0</v>
      </c>
    </row>
    <row r="65" spans="1:6">
      <c r="A65" s="1291" t="s">
        <v>55</v>
      </c>
      <c r="B65" s="1291" t="s">
        <v>28</v>
      </c>
      <c r="C65" s="1292">
        <v>4</v>
      </c>
      <c r="D65" s="1292">
        <v>83179.829143709299</v>
      </c>
      <c r="E65" s="1292">
        <v>8</v>
      </c>
      <c r="F65" s="1292">
        <v>287461.56133245002</v>
      </c>
    </row>
    <row r="66" spans="1:6">
      <c r="A66" s="1291" t="s">
        <v>55</v>
      </c>
      <c r="B66" s="1291" t="s">
        <v>57</v>
      </c>
      <c r="C66" s="1292">
        <v>3</v>
      </c>
      <c r="D66" s="1292">
        <v>36263.161389378001</v>
      </c>
      <c r="E66" s="1292">
        <v>13</v>
      </c>
      <c r="F66" s="1292">
        <v>108607</v>
      </c>
    </row>
    <row r="67" spans="1:6">
      <c r="A67" s="1293" t="s">
        <v>55</v>
      </c>
      <c r="B67" s="1293" t="s">
        <v>58</v>
      </c>
      <c r="C67" s="1292">
        <v>0</v>
      </c>
      <c r="D67" s="1292">
        <v>0</v>
      </c>
      <c r="E67" s="1292">
        <v>0</v>
      </c>
      <c r="F67" s="1292">
        <v>0</v>
      </c>
    </row>
    <row r="68" spans="1:6">
      <c r="A68" s="1286" t="s">
        <v>55</v>
      </c>
      <c r="B68" s="1286" t="s">
        <v>59</v>
      </c>
      <c r="C68" s="1295">
        <v>6</v>
      </c>
      <c r="D68" s="1295">
        <v>84605.786615204604</v>
      </c>
      <c r="E68" s="1295">
        <v>26</v>
      </c>
      <c r="F68" s="1295">
        <v>299097.03772998898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90937220</v>
      </c>
      <c r="E73" s="443"/>
      <c r="F73" s="324"/>
    </row>
    <row r="74" spans="1:6">
      <c r="A74" s="1291" t="s">
        <v>63</v>
      </c>
      <c r="B74" s="1291" t="s">
        <v>648</v>
      </c>
      <c r="C74" s="1305" t="s">
        <v>650</v>
      </c>
      <c r="D74" s="1306">
        <v>5452393.5</v>
      </c>
      <c r="E74" s="443"/>
      <c r="F74" s="324"/>
    </row>
    <row r="75" spans="1:6">
      <c r="A75" s="1291" t="s">
        <v>64</v>
      </c>
      <c r="B75" s="1291" t="s">
        <v>647</v>
      </c>
      <c r="C75" s="1305" t="s">
        <v>651</v>
      </c>
      <c r="D75" s="1306">
        <v>87271745</v>
      </c>
      <c r="E75" s="443"/>
      <c r="F75" s="324"/>
    </row>
    <row r="76" spans="1:6">
      <c r="A76" s="1291" t="s">
        <v>64</v>
      </c>
      <c r="B76" s="1291" t="s">
        <v>648</v>
      </c>
      <c r="C76" s="1305" t="s">
        <v>652</v>
      </c>
      <c r="D76" s="1306">
        <v>2184069.5</v>
      </c>
      <c r="E76" s="443"/>
      <c r="F76" s="324"/>
    </row>
    <row r="77" spans="1:6">
      <c r="A77" s="1291" t="s">
        <v>65</v>
      </c>
      <c r="B77" s="1291" t="s">
        <v>647</v>
      </c>
      <c r="C77" s="1305" t="s">
        <v>653</v>
      </c>
      <c r="D77" s="1306">
        <v>100506710</v>
      </c>
      <c r="E77" s="443"/>
      <c r="F77" s="324"/>
    </row>
    <row r="78" spans="1:6">
      <c r="A78" s="1286" t="s">
        <v>65</v>
      </c>
      <c r="B78" s="1286" t="s">
        <v>648</v>
      </c>
      <c r="C78" s="1286" t="s">
        <v>654</v>
      </c>
      <c r="D78" s="1307">
        <v>8491015</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1246191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17482.848471334517</v>
      </c>
      <c r="C90" s="324"/>
      <c r="D90" s="324"/>
      <c r="E90" s="324"/>
      <c r="F90" s="324"/>
    </row>
    <row r="91" spans="1:6">
      <c r="A91" s="1291" t="s">
        <v>67</v>
      </c>
      <c r="B91" s="1292">
        <v>2880.739766680616</v>
      </c>
      <c r="C91" s="324"/>
      <c r="D91" s="324"/>
      <c r="E91" s="324"/>
      <c r="F91" s="324"/>
    </row>
    <row r="92" spans="1:6">
      <c r="A92" s="1286" t="s">
        <v>68</v>
      </c>
      <c r="B92" s="1287">
        <v>1677.4197803367931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6312</v>
      </c>
      <c r="C97" s="324"/>
      <c r="D97" s="324"/>
      <c r="E97" s="324"/>
      <c r="F97" s="324"/>
    </row>
    <row r="98" spans="1:6">
      <c r="A98" s="1291" t="s">
        <v>71</v>
      </c>
      <c r="B98" s="1292">
        <v>3</v>
      </c>
      <c r="C98" s="324"/>
      <c r="D98" s="324"/>
      <c r="E98" s="324"/>
      <c r="F98" s="324"/>
    </row>
    <row r="99" spans="1:6">
      <c r="A99" s="1291" t="s">
        <v>72</v>
      </c>
      <c r="B99" s="1292">
        <v>94</v>
      </c>
      <c r="C99" s="324"/>
      <c r="D99" s="324"/>
      <c r="E99" s="324"/>
      <c r="F99" s="324"/>
    </row>
    <row r="100" spans="1:6">
      <c r="A100" s="1291" t="s">
        <v>73</v>
      </c>
      <c r="B100" s="1292">
        <v>1332</v>
      </c>
      <c r="C100" s="324"/>
      <c r="D100" s="324"/>
      <c r="E100" s="324"/>
      <c r="F100" s="324"/>
    </row>
    <row r="101" spans="1:6">
      <c r="A101" s="1291" t="s">
        <v>74</v>
      </c>
      <c r="B101" s="1292">
        <v>95</v>
      </c>
      <c r="C101" s="324"/>
      <c r="D101" s="324"/>
      <c r="E101" s="324"/>
      <c r="F101" s="324"/>
    </row>
    <row r="102" spans="1:6">
      <c r="A102" s="1291" t="s">
        <v>75</v>
      </c>
      <c r="B102" s="1292">
        <v>195</v>
      </c>
      <c r="C102" s="324"/>
      <c r="D102" s="324"/>
      <c r="E102" s="324"/>
      <c r="F102" s="324"/>
    </row>
    <row r="103" spans="1:6">
      <c r="A103" s="1291" t="s">
        <v>76</v>
      </c>
      <c r="B103" s="1292">
        <v>236</v>
      </c>
      <c r="C103" s="324"/>
      <c r="D103" s="324"/>
      <c r="E103" s="324"/>
      <c r="F103" s="324"/>
    </row>
    <row r="104" spans="1:6">
      <c r="A104" s="1291" t="s">
        <v>77</v>
      </c>
      <c r="B104" s="1292">
        <v>3300</v>
      </c>
      <c r="C104" s="324"/>
      <c r="D104" s="324"/>
      <c r="E104" s="324"/>
      <c r="F104" s="324"/>
    </row>
    <row r="105" spans="1:6">
      <c r="A105" s="1286" t="s">
        <v>78</v>
      </c>
      <c r="B105" s="129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14</v>
      </c>
      <c r="C123" s="1292">
        <v>24</v>
      </c>
      <c r="D123" s="324"/>
      <c r="E123" s="324"/>
      <c r="F123" s="324"/>
    </row>
    <row r="124" spans="1:6" s="43" customFormat="1">
      <c r="A124" s="1293" t="s">
        <v>88</v>
      </c>
      <c r="B124" s="1314">
        <v>2</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71</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15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126177.08476888642</v>
      </c>
      <c r="C3" s="43" t="s">
        <v>169</v>
      </c>
      <c r="D3" s="43"/>
      <c r="E3" s="154"/>
      <c r="F3" s="43"/>
      <c r="G3" s="43"/>
      <c r="H3" s="43"/>
      <c r="I3" s="43"/>
      <c r="J3" s="43"/>
      <c r="K3" s="96"/>
    </row>
    <row r="4" spans="1:11">
      <c r="A4" s="352" t="s">
        <v>170</v>
      </c>
      <c r="B4" s="49">
        <f>IF(ISERROR('SEAP template'!B78+'SEAP template'!C78),0,'SEAP template'!B78+'SEAP template'!C78)</f>
        <v>22065.758018351924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5.8817647058823539</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0.1823982937847132</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8.4025210084033635</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35.357142857142861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0.23764705882352943</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1814.76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1814.76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0.1823982937847132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331.00912762874611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49446.446585852493</v>
      </c>
      <c r="C5" s="17">
        <f>IF(ISERROR('Eigen informatie GS &amp; warmtenet'!B57),0,'Eigen informatie GS &amp; warmtenet'!B57)</f>
        <v>0</v>
      </c>
      <c r="D5" s="30">
        <f>(SUM(HH_hh_gas_kWh,HH_rest_gas_kWh)/1000)*0.902</f>
        <v>135016.37120258316</v>
      </c>
      <c r="E5" s="17">
        <f>B32*B41</f>
        <v>2532.8178322965209</v>
      </c>
      <c r="F5" s="17">
        <f>B36*B45</f>
        <v>64170.250466265839</v>
      </c>
      <c r="G5" s="18"/>
      <c r="H5" s="17"/>
      <c r="I5" s="17"/>
      <c r="J5" s="17">
        <f>B35*B44+C35*C44</f>
        <v>308.78004590610169</v>
      </c>
      <c r="K5" s="17"/>
      <c r="L5" s="17"/>
      <c r="M5" s="17"/>
      <c r="N5" s="17">
        <f>B34*B43+C34*C43</f>
        <v>18945.48853405035</v>
      </c>
      <c r="O5" s="17">
        <f>B52*B53*B54</f>
        <v>148.51666666666668</v>
      </c>
      <c r="P5" s="17">
        <f>B60*B61*B62/1000-B60*B61*B62/1000/B63</f>
        <v>591.06666666666661</v>
      </c>
    </row>
    <row r="6" spans="1:16">
      <c r="A6" s="16" t="s">
        <v>613</v>
      </c>
      <c r="B6" s="756">
        <f>kWh_PV_kleiner_dan_10kW</f>
        <v>2880.739766680616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52327.186352533106</v>
      </c>
      <c r="C8" s="21">
        <f>C5</f>
        <v>0</v>
      </c>
      <c r="D8" s="21">
        <f>D5</f>
        <v>135016.37120258316</v>
      </c>
      <c r="E8" s="21">
        <f>E5</f>
        <v>2532.8178322965209</v>
      </c>
      <c r="F8" s="21">
        <f>F5</f>
        <v>64170.250466265839</v>
      </c>
      <c r="G8" s="21"/>
      <c r="H8" s="21"/>
      <c r="I8" s="21"/>
      <c r="J8" s="21">
        <f>J5</f>
        <v>308.78004590610169</v>
      </c>
      <c r="K8" s="21"/>
      <c r="L8" s="21">
        <f>L5</f>
        <v>0</v>
      </c>
      <c r="M8" s="21">
        <f>M5</f>
        <v>0</v>
      </c>
      <c r="N8" s="21">
        <f>N5</f>
        <v>18945.48853405035</v>
      </c>
      <c r="O8" s="21">
        <f>O5</f>
        <v>148.51666666666668</v>
      </c>
      <c r="P8" s="21">
        <f>P5</f>
        <v>591.06666666666661</v>
      </c>
    </row>
    <row r="9" spans="1:16">
      <c r="B9" s="19"/>
      <c r="C9" s="19"/>
      <c r="D9" s="254"/>
      <c r="E9" s="19"/>
      <c r="F9" s="19"/>
      <c r="G9" s="19"/>
      <c r="H9" s="19"/>
      <c r="I9" s="19"/>
      <c r="J9" s="19"/>
      <c r="K9" s="19"/>
      <c r="L9" s="19"/>
      <c r="M9" s="19"/>
      <c r="N9" s="19"/>
      <c r="O9" s="19"/>
      <c r="P9" s="19"/>
    </row>
    <row r="10" spans="1:16">
      <c r="A10" s="24" t="s">
        <v>213</v>
      </c>
      <c r="B10" s="25">
        <f ca="1">'EF ele_warmte'!B12</f>
        <v>0.1823982937847132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9544.3895092567691</v>
      </c>
      <c r="C12" s="23">
        <f ca="1">C10*C8</f>
        <v>0</v>
      </c>
      <c r="D12" s="23">
        <f>D8*D10</f>
        <v>27273.3069829218</v>
      </c>
      <c r="E12" s="23">
        <f>E10*E8</f>
        <v>574.94964793131032</v>
      </c>
      <c r="F12" s="23">
        <f>F10*F8</f>
        <v>17133.456874492978</v>
      </c>
      <c r="G12" s="23"/>
      <c r="H12" s="23"/>
      <c r="I12" s="23"/>
      <c r="J12" s="23">
        <f>J10*J8</f>
        <v>109.30813625075999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13209</v>
      </c>
      <c r="C26" s="36"/>
      <c r="D26" s="225"/>
    </row>
    <row r="27" spans="1:5" s="15" customFormat="1">
      <c r="A27" s="227" t="s">
        <v>768</v>
      </c>
      <c r="B27" s="37">
        <f>SUM(HH_hh_gas_aantal,HH_rest_gas_aantal)</f>
        <v>9288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8823.6</v>
      </c>
      <c r="C31" s="34" t="s">
        <v>110</v>
      </c>
      <c r="D31" s="171"/>
    </row>
    <row r="32" spans="1:5">
      <c r="A32" s="168" t="s">
        <v>72</v>
      </c>
      <c r="B32" s="33">
        <f>IF((B21*($B$26-($B$27-0.05*$B$27)-$B$60))&lt;0,0,B21*($B$26-($B$27-0.05*$B$27)-$B$60))</f>
        <v>47.90055237725656</v>
      </c>
      <c r="C32" s="34" t="s">
        <v>110</v>
      </c>
      <c r="D32" s="171"/>
    </row>
    <row r="33" spans="1:6">
      <c r="A33" s="168" t="s">
        <v>73</v>
      </c>
      <c r="B33" s="33">
        <f>IF((B22*($B$26-($B$27-0.05*$B$27)-$B$60))&lt;0,0,B22*($B$26-($B$27-0.05*$B$27)-$B$60))</f>
        <v>995.89270933570867</v>
      </c>
      <c r="C33" s="34" t="s">
        <v>110</v>
      </c>
      <c r="D33" s="171"/>
    </row>
    <row r="34" spans="1:6">
      <c r="A34" s="168" t="s">
        <v>74</v>
      </c>
      <c r="B34" s="33">
        <f>IF((B24*($B$26-($B$27-0.05*$B$27)-$B$60))&lt;0,0,B24*($B$26-($B$27-0.05*$B$27)-$B$60))</f>
        <v>198.04765655165411</v>
      </c>
      <c r="C34" s="33">
        <f>B26*C24</f>
        <v>2703.8235481043844</v>
      </c>
      <c r="D34" s="230"/>
    </row>
    <row r="35" spans="1:6">
      <c r="A35" s="168" t="s">
        <v>76</v>
      </c>
      <c r="B35" s="33">
        <f>IF((B19*($B$26-($B$27-0.05*$B$27)-$B$60))&lt;0,0,B19*($B$26-($B$27-0.05*$B$27)-$B$60))</f>
        <v>36.255553000568447</v>
      </c>
      <c r="C35" s="33">
        <f>B35/2</f>
        <v>18.127776500284224</v>
      </c>
      <c r="D35" s="230"/>
    </row>
    <row r="36" spans="1:6">
      <c r="A36" s="168" t="s">
        <v>77</v>
      </c>
      <c r="B36" s="33">
        <f>IF((B18*($B$26-($B$27-0.05*$B$27)-$B$60))&lt;0,0,B18*($B$26-($B$27-0.05*$B$27)-$B$60))</f>
        <v>3076.3035287348121</v>
      </c>
      <c r="C36" s="34" t="s">
        <v>110</v>
      </c>
      <c r="D36" s="171"/>
    </row>
    <row r="37" spans="1:6">
      <c r="A37" s="168" t="s">
        <v>78</v>
      </c>
      <c r="B37" s="33">
        <f>B60</f>
        <v>31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95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46010.057471692198</v>
      </c>
      <c r="C5" s="17">
        <f>IF(ISERROR('Eigen informatie GS &amp; warmtenet'!B58),0,'Eigen informatie GS &amp; warmtenet'!B58)</f>
        <v>0</v>
      </c>
      <c r="D5" s="30">
        <f>SUM(D6:D12)</f>
        <v>37923.48531467365</v>
      </c>
      <c r="E5" s="17">
        <f>SUM(E6:E12)</f>
        <v>858.5196071899212</v>
      </c>
      <c r="F5" s="17">
        <f>SUM(F6:F12)</f>
        <v>8434.0039162003995</v>
      </c>
      <c r="G5" s="18"/>
      <c r="H5" s="17"/>
      <c r="I5" s="17"/>
      <c r="J5" s="17">
        <f>SUM(J6:J12)</f>
        <v>0.1302538743847815</v>
      </c>
      <c r="K5" s="17"/>
      <c r="L5" s="17"/>
      <c r="M5" s="17"/>
      <c r="N5" s="17">
        <f>SUM(N6:N12)</f>
        <v>5162.7755016785923</v>
      </c>
      <c r="O5" s="17">
        <f>B38*B39*B40</f>
        <v>0</v>
      </c>
      <c r="P5" s="17">
        <f>B46*B47*B48/1000-B46*B47*B48/1000/B49</f>
        <v>0</v>
      </c>
      <c r="R5" s="32"/>
    </row>
    <row r="6" spans="1:18">
      <c r="A6" s="32" t="s">
        <v>53</v>
      </c>
      <c r="B6" s="37">
        <f>B26</f>
        <v>6914.3962666264797</v>
      </c>
      <c r="C6" s="33"/>
      <c r="D6" s="37">
        <f>IF(ISERROR(TER_kantoor_gas_kWh/1000),0,TER_kantoor_gas_kWh/1000)*0.902</f>
        <v>6885.6746773642626</v>
      </c>
      <c r="E6" s="33">
        <f>$C$26*'E Balans VL '!I12/100/3.6*1000000</f>
        <v>4.3337136107044427E-2</v>
      </c>
      <c r="F6" s="33">
        <f>$C$26*('E Balans VL '!L12+'E Balans VL '!N12)/100/3.6*1000000</f>
        <v>1039.0405522154244</v>
      </c>
      <c r="G6" s="34"/>
      <c r="H6" s="33"/>
      <c r="I6" s="33"/>
      <c r="J6" s="33">
        <f>$C$26*('E Balans VL '!D12+'E Balans VL '!E12)/100/3.6*1000000</f>
        <v>0</v>
      </c>
      <c r="K6" s="33"/>
      <c r="L6" s="33"/>
      <c r="M6" s="33"/>
      <c r="N6" s="33">
        <f>$C$26*'E Balans VL '!Y12/100/3.6*1000000</f>
        <v>6.6125948572750817</v>
      </c>
      <c r="O6" s="33"/>
      <c r="P6" s="33"/>
      <c r="R6" s="32"/>
    </row>
    <row r="7" spans="1:18">
      <c r="A7" s="32" t="s">
        <v>52</v>
      </c>
      <c r="B7" s="37">
        <f t="shared" ref="B7:B12" si="0">B27</f>
        <v>2031.05123271959</v>
      </c>
      <c r="C7" s="33"/>
      <c r="D7" s="37">
        <f>IF(ISERROR(TER_horeca_gas_kWh/1000),0,TER_horeca_gas_kWh/1000)*0.902</f>
        <v>2341.0865452417866</v>
      </c>
      <c r="E7" s="33">
        <f>$C$27*'E Balans VL '!I9/100/3.6*1000000</f>
        <v>29.084315343991619</v>
      </c>
      <c r="F7" s="33">
        <f>$C$27*('E Balans VL '!L9+'E Balans VL '!N9)/100/3.6*1000000</f>
        <v>257.19807271267382</v>
      </c>
      <c r="G7" s="34"/>
      <c r="H7" s="33"/>
      <c r="I7" s="33"/>
      <c r="J7" s="33">
        <f>$C$27*('E Balans VL '!D9+'E Balans VL '!E9)/100/3.6*1000000</f>
        <v>0</v>
      </c>
      <c r="K7" s="33"/>
      <c r="L7" s="33"/>
      <c r="M7" s="33"/>
      <c r="N7" s="33">
        <f>$C$27*'E Balans VL '!Y9/100/3.6*1000000</f>
        <v>0.58388244857117266</v>
      </c>
      <c r="O7" s="33"/>
      <c r="P7" s="33"/>
      <c r="R7" s="32"/>
    </row>
    <row r="8" spans="1:18">
      <c r="A8" s="6" t="s">
        <v>51</v>
      </c>
      <c r="B8" s="37">
        <f t="shared" si="0"/>
        <v>17667.035799335597</v>
      </c>
      <c r="C8" s="33"/>
      <c r="D8" s="37">
        <f>IF(ISERROR(TER_handel_gas_kWh/1000),0,TER_handel_gas_kWh/1000)*0.902</f>
        <v>9477.6928395655978</v>
      </c>
      <c r="E8" s="33">
        <f>$C$28*'E Balans VL '!I13/100/3.6*1000000</f>
        <v>640.78120984065197</v>
      </c>
      <c r="F8" s="33">
        <f>$C$28*('E Balans VL '!L13+'E Balans VL '!N13)/100/3.6*1000000</f>
        <v>3402.8499850629819</v>
      </c>
      <c r="G8" s="34"/>
      <c r="H8" s="33"/>
      <c r="I8" s="33"/>
      <c r="J8" s="33">
        <f>$C$28*('E Balans VL '!D13+'E Balans VL '!E13)/100/3.6*1000000</f>
        <v>0</v>
      </c>
      <c r="K8" s="33"/>
      <c r="L8" s="33"/>
      <c r="M8" s="33"/>
      <c r="N8" s="33">
        <f>$C$28*'E Balans VL '!Y13/100/3.6*1000000</f>
        <v>24.4729095857235</v>
      </c>
      <c r="O8" s="33"/>
      <c r="P8" s="33"/>
      <c r="R8" s="32"/>
    </row>
    <row r="9" spans="1:18">
      <c r="A9" s="32" t="s">
        <v>50</v>
      </c>
      <c r="B9" s="37">
        <f t="shared" si="0"/>
        <v>283.32736967811798</v>
      </c>
      <c r="C9" s="33"/>
      <c r="D9" s="37">
        <f>IF(ISERROR(TER_gezond_gas_kWh/1000),0,TER_gezond_gas_kWh/1000)*0.902</f>
        <v>338.86457689632249</v>
      </c>
      <c r="E9" s="33">
        <f>$C$29*'E Balans VL '!I10/100/3.6*1000000</f>
        <v>1.7739090694254823E-2</v>
      </c>
      <c r="F9" s="33">
        <f>$C$29*('E Balans VL '!L10+'E Balans VL '!N10)/100/3.6*1000000</f>
        <v>42.089143415370678</v>
      </c>
      <c r="G9" s="34"/>
      <c r="H9" s="33"/>
      <c r="I9" s="33"/>
      <c r="J9" s="33">
        <f>$C$29*('E Balans VL '!D10+'E Balans VL '!E10)/100/3.6*1000000</f>
        <v>0</v>
      </c>
      <c r="K9" s="33"/>
      <c r="L9" s="33"/>
      <c r="M9" s="33"/>
      <c r="N9" s="33">
        <f>$C$29*'E Balans VL '!Y10/100/3.6*1000000</f>
        <v>4.3825350929353819</v>
      </c>
      <c r="O9" s="33"/>
      <c r="P9" s="33"/>
      <c r="R9" s="32"/>
    </row>
    <row r="10" spans="1:18">
      <c r="A10" s="32" t="s">
        <v>49</v>
      </c>
      <c r="B10" s="37">
        <f t="shared" si="0"/>
        <v>4365.38764995564</v>
      </c>
      <c r="C10" s="33"/>
      <c r="D10" s="37">
        <f>IF(ISERROR(TER_ander_gas_kWh/1000),0,TER_ander_gas_kWh/1000)*0.902</f>
        <v>5580.0219300193512</v>
      </c>
      <c r="E10" s="33">
        <f>$C$30*'E Balans VL '!I14/100/3.6*1000000</f>
        <v>5.2033860861506298</v>
      </c>
      <c r="F10" s="33">
        <f>$C$30*('E Balans VL '!L14+'E Balans VL '!N14)/100/3.6*1000000</f>
        <v>1142.1794791204532</v>
      </c>
      <c r="G10" s="34"/>
      <c r="H10" s="33"/>
      <c r="I10" s="33"/>
      <c r="J10" s="33">
        <f>$C$30*('E Balans VL '!D14+'E Balans VL '!E14)/100/3.6*1000000</f>
        <v>9.4755454033440739E-2</v>
      </c>
      <c r="K10" s="33"/>
      <c r="L10" s="33"/>
      <c r="M10" s="33"/>
      <c r="N10" s="33">
        <f>$C$30*'E Balans VL '!Y14/100/3.6*1000000</f>
        <v>3706.9803728101265</v>
      </c>
      <c r="O10" s="33"/>
      <c r="P10" s="33"/>
      <c r="R10" s="32"/>
    </row>
    <row r="11" spans="1:18">
      <c r="A11" s="32" t="s">
        <v>54</v>
      </c>
      <c r="B11" s="37">
        <f t="shared" si="0"/>
        <v>89.329772471675611</v>
      </c>
      <c r="C11" s="33"/>
      <c r="D11" s="37">
        <f>IF(ISERROR(TER_onderwijs_gas_kWh/1000),0,TER_onderwijs_gas_kWh/1000)*0.902</f>
        <v>0</v>
      </c>
      <c r="E11" s="33">
        <f>$C$31*'E Balans VL '!I11/100/3.6*1000000</f>
        <v>1.3478423873175827</v>
      </c>
      <c r="F11" s="33">
        <f>$C$31*('E Balans VL '!L11+'E Balans VL '!N11)/100/3.6*1000000</f>
        <v>15.652003222608123</v>
      </c>
      <c r="G11" s="34"/>
      <c r="H11" s="33"/>
      <c r="I11" s="33"/>
      <c r="J11" s="33">
        <f>$C$31*('E Balans VL '!D11+'E Balans VL '!E11)/100/3.6*1000000</f>
        <v>0</v>
      </c>
      <c r="K11" s="33"/>
      <c r="L11" s="33"/>
      <c r="M11" s="33"/>
      <c r="N11" s="33">
        <f>$C$31*'E Balans VL '!Y11/100/3.6*1000000</f>
        <v>0.25138077084321658</v>
      </c>
      <c r="O11" s="33"/>
      <c r="P11" s="33"/>
      <c r="R11" s="32"/>
    </row>
    <row r="12" spans="1:18">
      <c r="A12" s="32" t="s">
        <v>254</v>
      </c>
      <c r="B12" s="37">
        <f t="shared" si="0"/>
        <v>14659.5293809051</v>
      </c>
      <c r="C12" s="33"/>
      <c r="D12" s="37">
        <f>IF(ISERROR(TER_rest_gas_kWh/1000),0,TER_rest_gas_kWh/1000)*0.902</f>
        <v>13300.144745586331</v>
      </c>
      <c r="E12" s="33">
        <f>$C$32*'E Balans VL '!I8/100/3.6*1000000</f>
        <v>182.0417773050082</v>
      </c>
      <c r="F12" s="33">
        <f>$C$32*('E Balans VL '!L8+'E Balans VL '!N8)/100/3.6*1000000</f>
        <v>2534.9946804508872</v>
      </c>
      <c r="G12" s="34"/>
      <c r="H12" s="33"/>
      <c r="I12" s="33"/>
      <c r="J12" s="33">
        <f>$C$32*('E Balans VL '!D8+'E Balans VL '!E8)/100/3.6*1000000</f>
        <v>3.5498420351340758E-2</v>
      </c>
      <c r="K12" s="33"/>
      <c r="L12" s="33"/>
      <c r="M12" s="33"/>
      <c r="N12" s="33">
        <f>$C$32*'E Balans VL '!Y8/100/3.6*1000000</f>
        <v>1419.4918261131174</v>
      </c>
      <c r="O12" s="33"/>
      <c r="P12" s="33"/>
      <c r="R12" s="32"/>
    </row>
    <row r="13" spans="1:18">
      <c r="A13" s="16" t="s">
        <v>480</v>
      </c>
      <c r="B13" s="243">
        <f ca="1">'lokale energieproductie'!N38+'lokale energieproductie'!N31</f>
        <v>24.75</v>
      </c>
      <c r="C13" s="243">
        <f ca="1">'lokale energieproductie'!O38+'lokale energieproductie'!O31</f>
        <v>35.357142857142861</v>
      </c>
      <c r="D13" s="302">
        <f ca="1">('lokale energieproductie'!P31+'lokale energieproductie'!P38)*(-1)</f>
        <v>-70.714285714285722</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46034.807471692198</v>
      </c>
      <c r="C16" s="21">
        <f t="shared" ca="1" si="1"/>
        <v>35.357142857142861</v>
      </c>
      <c r="D16" s="21">
        <f t="shared" ca="1" si="1"/>
        <v>37852.771028959367</v>
      </c>
      <c r="E16" s="21">
        <f t="shared" si="1"/>
        <v>858.5196071899212</v>
      </c>
      <c r="F16" s="21">
        <f t="shared" ca="1" si="1"/>
        <v>8434.0039162003995</v>
      </c>
      <c r="G16" s="21">
        <f t="shared" si="1"/>
        <v>0</v>
      </c>
      <c r="H16" s="21">
        <f t="shared" si="1"/>
        <v>0</v>
      </c>
      <c r="I16" s="21">
        <f t="shared" si="1"/>
        <v>0</v>
      </c>
      <c r="J16" s="21">
        <f t="shared" si="1"/>
        <v>0.1302538743847815</v>
      </c>
      <c r="K16" s="21">
        <f t="shared" si="1"/>
        <v>0</v>
      </c>
      <c r="L16" s="21">
        <f t="shared" ca="1" si="1"/>
        <v>0</v>
      </c>
      <c r="M16" s="21">
        <f t="shared" si="1"/>
        <v>0</v>
      </c>
      <c r="N16" s="21">
        <f t="shared" ca="1" si="1"/>
        <v>5162.7755016785923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0.1823982937847132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8396.6703375444231</v>
      </c>
      <c r="C20" s="23">
        <f t="shared" ref="C20:P20" ca="1" si="2">C16*C18</f>
        <v>8.4025210084033635</v>
      </c>
      <c r="D20" s="23">
        <f t="shared" ca="1" si="2"/>
        <v>7646.2597478497928</v>
      </c>
      <c r="E20" s="23">
        <f t="shared" si="2"/>
        <v>194.88395083211211</v>
      </c>
      <c r="F20" s="23">
        <f t="shared" ca="1" si="2"/>
        <v>2251.8790456255069</v>
      </c>
      <c r="G20" s="23">
        <f t="shared" si="2"/>
        <v>0</v>
      </c>
      <c r="H20" s="23">
        <f t="shared" si="2"/>
        <v>0</v>
      </c>
      <c r="I20" s="23">
        <f t="shared" si="2"/>
        <v>0</v>
      </c>
      <c r="J20" s="23">
        <f t="shared" si="2"/>
        <v>4.6109871532212653E-2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6914.3962666264797</v>
      </c>
      <c r="C26" s="39">
        <f>IF(ISERROR(B26*3.6/1000000/'E Balans VL '!Z12*100),0,B26*3.6/1000000/'E Balans VL '!Z12*100)</f>
        <v>0.14615938378804483</v>
      </c>
      <c r="D26" s="233" t="s">
        <v>732</v>
      </c>
      <c r="F26" s="6"/>
    </row>
    <row r="27" spans="1:18">
      <c r="A27" s="228" t="s">
        <v>52</v>
      </c>
      <c r="B27" s="33">
        <f>IF(ISERROR(TER_horeca_ele_kWh/1000),0,TER_horeca_ele_kWh/1000)</f>
        <v>2031.05123271959</v>
      </c>
      <c r="C27" s="39">
        <f>IF(ISERROR(B27*3.6/1000000/'E Balans VL '!Z9*100),0,B27*3.6/1000000/'E Balans VL '!Z9*100)</f>
        <v>0.16010701166384403</v>
      </c>
      <c r="D27" s="233" t="s">
        <v>732</v>
      </c>
      <c r="F27" s="6"/>
    </row>
    <row r="28" spans="1:18">
      <c r="A28" s="168" t="s">
        <v>51</v>
      </c>
      <c r="B28" s="33">
        <f>IF(ISERROR(TER_handel_ele_kWh/1000),0,TER_handel_ele_kWh/1000)</f>
        <v>17667.035799335597</v>
      </c>
      <c r="C28" s="39">
        <f>IF(ISERROR(B28*3.6/1000000/'E Balans VL '!Z13*100),0,B28*3.6/1000000/'E Balans VL '!Z13*100)</f>
        <v>0.51276876172022945</v>
      </c>
      <c r="D28" s="233" t="s">
        <v>732</v>
      </c>
      <c r="F28" s="6"/>
    </row>
    <row r="29" spans="1:18">
      <c r="A29" s="228" t="s">
        <v>50</v>
      </c>
      <c r="B29" s="33">
        <f>IF(ISERROR(TER_gezond_ele_kWh/1000),0,TER_gezond_ele_kWh/1000)</f>
        <v>283.32736967811798</v>
      </c>
      <c r="C29" s="39">
        <f>IF(ISERROR(B29*3.6/1000000/'E Balans VL '!Z10*100),0,B29*3.6/1000000/'E Balans VL '!Z10*100)</f>
        <v>2.9839024385320212E-2</v>
      </c>
      <c r="D29" s="233" t="s">
        <v>732</v>
      </c>
      <c r="F29" s="6"/>
    </row>
    <row r="30" spans="1:18">
      <c r="A30" s="228" t="s">
        <v>49</v>
      </c>
      <c r="B30" s="33">
        <f>IF(ISERROR(TER_ander_ele_kWh/1000),0,TER_ander_ele_kWh/1000)</f>
        <v>4365.38764995564</v>
      </c>
      <c r="C30" s="39">
        <f>IF(ISERROR(B30*3.6/1000000/'E Balans VL '!Z14*100),0,B30*3.6/1000000/'E Balans VL '!Z14*100)</f>
        <v>0.32199194121820907</v>
      </c>
      <c r="D30" s="233" t="s">
        <v>732</v>
      </c>
      <c r="F30" s="6"/>
    </row>
    <row r="31" spans="1:18">
      <c r="A31" s="228" t="s">
        <v>54</v>
      </c>
      <c r="B31" s="33">
        <f>IF(ISERROR(TER_onderwijs_ele_kWh/1000),0,TER_onderwijs_ele_kWh/1000)</f>
        <v>89.329772471675611</v>
      </c>
      <c r="C31" s="39">
        <f>IF(ISERROR(B31*3.6/1000000/'E Balans VL '!Z11*100),0,B31*3.6/1000000/'E Balans VL '!Z11*100)</f>
        <v>2.2184766957690682E-2</v>
      </c>
      <c r="D31" s="233" t="s">
        <v>732</v>
      </c>
    </row>
    <row r="32" spans="1:18">
      <c r="A32" s="228" t="s">
        <v>254</v>
      </c>
      <c r="B32" s="33">
        <f>IF(ISERROR(TER_rest_ele_kWh/1000),0,TER_rest_ele_kWh/1000)</f>
        <v>14659.5293809051</v>
      </c>
      <c r="C32" s="39">
        <f>IF(ISERROR(B32*3.6/1000000/'E Balans VL '!Z8*100),0,B32*3.6/1000000/'E Balans VL '!Z8*100)</f>
        <v>0.12062846825760851</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23646.282079127981</v>
      </c>
      <c r="C5" s="17">
        <f>IF(ISERROR('Eigen informatie GS &amp; warmtenet'!B59),0,'Eigen informatie GS &amp; warmtenet'!B59)</f>
        <v>0</v>
      </c>
      <c r="D5" s="30">
        <f>SUM(D6:D15)</f>
        <v>19220.95931806272</v>
      </c>
      <c r="E5" s="17">
        <f>SUM(E6:E15)</f>
        <v>1666.0759935903934</v>
      </c>
      <c r="F5" s="17">
        <f>SUM(F6:F15)</f>
        <v>5557.8284370436104</v>
      </c>
      <c r="G5" s="18"/>
      <c r="H5" s="17"/>
      <c r="I5" s="17"/>
      <c r="J5" s="17">
        <f>SUM(J6:J15)</f>
        <v>54.296349966599699</v>
      </c>
      <c r="K5" s="17"/>
      <c r="L5" s="17"/>
      <c r="M5" s="17"/>
      <c r="N5" s="17">
        <f>SUM(N6:N15)</f>
        <v>2174.9288451877883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373.95655539044702</v>
      </c>
      <c r="C8" s="33"/>
      <c r="D8" s="37">
        <f>IF( ISERROR(IND_metaal_Gas_kWH/1000),0,IND_metaal_Gas_kWH/1000)*0.902</f>
        <v>0</v>
      </c>
      <c r="E8" s="33">
        <f>C30*'E Balans VL '!I18/100/3.6*1000000</f>
        <v>3.4381693561392206</v>
      </c>
      <c r="F8" s="33">
        <f>C30*'E Balans VL '!L18/100/3.6*1000000+C30*'E Balans VL '!N18/100/3.6*1000000</f>
        <v>35.064674621621165</v>
      </c>
      <c r="G8" s="34"/>
      <c r="H8" s="33"/>
      <c r="I8" s="33"/>
      <c r="J8" s="40">
        <f>C30*'E Balans VL '!D18/100/3.6*1000000+C30*'E Balans VL '!E18/100/3.6*1000000</f>
        <v>0</v>
      </c>
      <c r="K8" s="33"/>
      <c r="L8" s="33"/>
      <c r="M8" s="33"/>
      <c r="N8" s="33">
        <f>C30*'E Balans VL '!Y18/100/3.6*1000000</f>
        <v>5.3351082518766848</v>
      </c>
      <c r="O8" s="33"/>
      <c r="P8" s="33"/>
      <c r="R8" s="32"/>
    </row>
    <row r="9" spans="1:18">
      <c r="A9" s="6" t="s">
        <v>32</v>
      </c>
      <c r="B9" s="37">
        <f t="shared" si="0"/>
        <v>2800.1765041511503</v>
      </c>
      <c r="C9" s="33"/>
      <c r="D9" s="37">
        <f>IF( ISERROR(IND_andere_gas_kWh/1000),0,IND_andere_gas_kWh/1000)*0.902</f>
        <v>1606.6049496356432</v>
      </c>
      <c r="E9" s="33">
        <f>C31*'E Balans VL '!I19/100/3.6*1000000</f>
        <v>818.54610517014498</v>
      </c>
      <c r="F9" s="33">
        <f>C31*'E Balans VL '!L19/100/3.6*1000000+C31*'E Balans VL '!N19/100/3.6*1000000</f>
        <v>2250.1537749712352</v>
      </c>
      <c r="G9" s="34"/>
      <c r="H9" s="33"/>
      <c r="I9" s="33"/>
      <c r="J9" s="40">
        <f>C31*'E Balans VL '!D19/100/3.6*1000000+C31*'E Balans VL '!E19/100/3.6*1000000</f>
        <v>0</v>
      </c>
      <c r="K9" s="33"/>
      <c r="L9" s="33"/>
      <c r="M9" s="33"/>
      <c r="N9" s="33">
        <f>C31*'E Balans VL '!Y19/100/3.6*1000000</f>
        <v>219.64204187305737</v>
      </c>
      <c r="O9" s="33"/>
      <c r="P9" s="33"/>
      <c r="R9" s="32"/>
    </row>
    <row r="10" spans="1:18">
      <c r="A10" s="6" t="s">
        <v>40</v>
      </c>
      <c r="B10" s="37">
        <f t="shared" si="0"/>
        <v>3842.3471217558699</v>
      </c>
      <c r="C10" s="33"/>
      <c r="D10" s="37">
        <f>IF( ISERROR(IND_voed_gas_kWh/1000),0,IND_voed_gas_kWh/1000)*0.902</f>
        <v>207.01169941517361</v>
      </c>
      <c r="E10" s="33">
        <f>C32*'E Balans VL '!I20/100/3.6*1000000</f>
        <v>8.1285449123722788</v>
      </c>
      <c r="F10" s="33">
        <f>C32*'E Balans VL '!L20/100/3.6*1000000+C32*'E Balans VL '!N20/100/3.6*1000000</f>
        <v>244.30035484372885</v>
      </c>
      <c r="G10" s="34"/>
      <c r="H10" s="33"/>
      <c r="I10" s="33"/>
      <c r="J10" s="40">
        <f>C32*'E Balans VL '!D20/100/3.6*1000000+C32*'E Balans VL '!E20/100/3.6*1000000</f>
        <v>0</v>
      </c>
      <c r="K10" s="33"/>
      <c r="L10" s="33"/>
      <c r="M10" s="33"/>
      <c r="N10" s="33">
        <f>C32*'E Balans VL '!Y20/100/3.6*1000000</f>
        <v>265.15986860904366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1529.2066613346101</v>
      </c>
      <c r="C13" s="33"/>
      <c r="D13" s="37">
        <f>IF( ISERROR(IND_papier_gas_kWh/1000),0,IND_papier_gas_kWh/1000)*0.902</f>
        <v>0</v>
      </c>
      <c r="E13" s="33">
        <f>C35*'E Balans VL '!I23/100/3.6*1000000</f>
        <v>2.1695945255852864</v>
      </c>
      <c r="F13" s="33">
        <f>C35*'E Balans VL '!L23/100/3.6*1000000+C35*'E Balans VL '!N23/100/3.6*1000000</f>
        <v>37.333684790964405</v>
      </c>
      <c r="G13" s="34"/>
      <c r="H13" s="33"/>
      <c r="I13" s="33"/>
      <c r="J13" s="40">
        <f>C35*'E Balans VL '!D23/100/3.6*1000000+C35*'E Balans VL '!E23/100/3.6*1000000</f>
        <v>0.23650616724241713</v>
      </c>
      <c r="K13" s="33"/>
      <c r="L13" s="33"/>
      <c r="M13" s="33"/>
      <c r="N13" s="33">
        <f>C35*'E Balans VL '!Y23/100/3.6*1000000</f>
        <v>624.811669811721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15100.595236495901</v>
      </c>
      <c r="C15" s="33"/>
      <c r="D15" s="37">
        <f>IF( ISERROR(IND_rest_gas_kWh/1000),0,IND_rest_gas_kWh/1000)*0.902</f>
        <v>17407.342669011901</v>
      </c>
      <c r="E15" s="33">
        <f>C37*'E Balans VL '!I15/100/3.6*1000000</f>
        <v>833.79357962615165</v>
      </c>
      <c r="F15" s="33">
        <f>C37*'E Balans VL '!L15/100/3.6*1000000+C37*'E Balans VL '!N15/100/3.6*1000000</f>
        <v>2990.9759478160604</v>
      </c>
      <c r="G15" s="34"/>
      <c r="H15" s="33"/>
      <c r="I15" s="33"/>
      <c r="J15" s="40">
        <f>C37*'E Balans VL '!D15/100/3.6*1000000+C37*'E Balans VL '!E15/100/3.6*1000000</f>
        <v>54.059843799357282</v>
      </c>
      <c r="K15" s="33"/>
      <c r="L15" s="33"/>
      <c r="M15" s="33"/>
      <c r="N15" s="33">
        <f>C37*'E Balans VL '!Y15/100/3.6*1000000</f>
        <v>1059.9801566420895</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23646.282079127981</v>
      </c>
      <c r="C18" s="21">
        <f>C5+C16</f>
        <v>0</v>
      </c>
      <c r="D18" s="21">
        <f>MAX((D5+D16),0)</f>
        <v>19220.95931806272</v>
      </c>
      <c r="E18" s="21">
        <f>MAX((E5+E16),0)</f>
        <v>1666.0759935903934</v>
      </c>
      <c r="F18" s="21">
        <f>MAX((F5+F16),0)</f>
        <v>5557.8284370436104</v>
      </c>
      <c r="G18" s="21"/>
      <c r="H18" s="21"/>
      <c r="I18" s="21"/>
      <c r="J18" s="21">
        <f>MAX((J5+J16),0)</f>
        <v>54.296349966599699</v>
      </c>
      <c r="K18" s="21"/>
      <c r="L18" s="21">
        <f>MAX((L5+L16),0)</f>
        <v>0</v>
      </c>
      <c r="M18" s="21"/>
      <c r="N18" s="21">
        <f>MAX((N5+N16),0)</f>
        <v>2174.9288451877883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0.1823982937847132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4313.0415055849844</v>
      </c>
      <c r="C22" s="23">
        <f ca="1">C18*C20</f>
        <v>0</v>
      </c>
      <c r="D22" s="23">
        <f>D18*D20</f>
        <v>3882.6337822486698</v>
      </c>
      <c r="E22" s="23">
        <f>E18*E20</f>
        <v>378.19925054501931</v>
      </c>
      <c r="F22" s="23">
        <f>F18*F20</f>
        <v>1483.9401926906442</v>
      </c>
      <c r="G22" s="23"/>
      <c r="H22" s="23"/>
      <c r="I22" s="23"/>
      <c r="J22" s="23">
        <f>J18*J20</f>
        <v>19.220907888176292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373.95655539044702</v>
      </c>
      <c r="C30" s="39">
        <f>IF(ISERROR(B30*3.6/1000000/'E Balans VL '!Z18*100),0,B30*3.6/1000000/'E Balans VL '!Z18*100)</f>
        <v>2.1193076881300527E-2</v>
      </c>
      <c r="D30" s="233" t="s">
        <v>732</v>
      </c>
    </row>
    <row r="31" spans="1:18">
      <c r="A31" s="6" t="s">
        <v>32</v>
      </c>
      <c r="B31" s="37">
        <f>IF( ISERROR(IND_ander_ele_kWh/1000),0,IND_ander_ele_kWh/1000)</f>
        <v>2800.1765041511503</v>
      </c>
      <c r="C31" s="39">
        <f>IF(ISERROR(B31*3.6/1000000/'E Balans VL '!Z19*100),0,B31*3.6/1000000/'E Balans VL '!Z19*100)</f>
        <v>0.12700434649626696</v>
      </c>
      <c r="D31" s="233" t="s">
        <v>732</v>
      </c>
    </row>
    <row r="32" spans="1:18">
      <c r="A32" s="168" t="s">
        <v>40</v>
      </c>
      <c r="B32" s="37">
        <f>IF( ISERROR(IND_voed_ele_kWh/1000),0,IND_voed_ele_kWh/1000)</f>
        <v>3842.3471217558699</v>
      </c>
      <c r="C32" s="39">
        <f>IF(ISERROR(B32*3.6/1000000/'E Balans VL '!Z20*100),0,B32*3.6/1000000/'E Balans VL '!Z20*100)</f>
        <v>0.11886123925905182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1529.2066613346101</v>
      </c>
      <c r="C35" s="39">
        <f>IF(ISERROR(B35*3.6/1000000/'E Balans VL '!Z22*100),0,B35*3.6/1000000/'E Balans VL '!Z22*100)</f>
        <v>0.27505656767574277</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15100.595236495901</v>
      </c>
      <c r="C37" s="39">
        <f>IF(ISERROR(B37*3.6/1000000/'E Balans VL '!Z15*100),0,B37*3.6/1000000/'E Balans VL '!Z15*100)</f>
        <v>0.11969076254392723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705.287182594961</v>
      </c>
      <c r="C5" s="17">
        <f>'Eigen informatie GS &amp; warmtenet'!B60</f>
        <v>0</v>
      </c>
      <c r="D5" s="30">
        <f>IF(ISERROR(SUM(LB_lb_gas_kWh,LB_rest_gas_kWh)/1000),0,SUM(LB_lb_gas_kWh,LB_rest_gas_kWh)/1000)*0.902</f>
        <v>1598.0140006601337</v>
      </c>
      <c r="E5" s="17">
        <f>B17*'E Balans VL '!I25/3.6*1000000/100</f>
        <v>20.730544492162043</v>
      </c>
      <c r="F5" s="17">
        <f>B17*('E Balans VL '!L25/3.6*1000000+'E Balans VL '!N25/3.6*1000000)/100</f>
        <v>2938.1882909716555</v>
      </c>
      <c r="G5" s="18"/>
      <c r="H5" s="17"/>
      <c r="I5" s="17"/>
      <c r="J5" s="17">
        <f>('E Balans VL '!D25+'E Balans VL '!E25)/3.6*1000000*landbouw!B17/100</f>
        <v>102.18096654238661</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705.287182594961</v>
      </c>
      <c r="C8" s="21">
        <f>C5+C6</f>
        <v>0</v>
      </c>
      <c r="D8" s="21">
        <f>MAX((D5+D6),0)</f>
        <v>1598.0140006601337</v>
      </c>
      <c r="E8" s="21">
        <f>MAX((E5+E6),0)</f>
        <v>20.730544492162043</v>
      </c>
      <c r="F8" s="21">
        <f>MAX((F5+F6),0)</f>
        <v>2938.1882909716555</v>
      </c>
      <c r="G8" s="21"/>
      <c r="H8" s="21"/>
      <c r="I8" s="21"/>
      <c r="J8" s="21">
        <f>MAX((J5+J6),0)</f>
        <v>102.18096654238661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0.1823982937847132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128.64317873354835</v>
      </c>
      <c r="C12" s="23">
        <f ca="1">C8*C10</f>
        <v>0</v>
      </c>
      <c r="D12" s="23">
        <f>D8*D10</f>
        <v>322.798828133347</v>
      </c>
      <c r="E12" s="23">
        <f>E8*E10</f>
        <v>4.7058335997207843</v>
      </c>
      <c r="F12" s="23">
        <f>F8*F10</f>
        <v>784.49627368943209</v>
      </c>
      <c r="G12" s="23"/>
      <c r="H12" s="23"/>
      <c r="I12" s="23"/>
      <c r="J12" s="23">
        <f>J8*J10</f>
        <v>36.172062156004863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0.10008246398127774</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155.19777638845176</v>
      </c>
      <c r="C26" s="243">
        <f>B26*'GWP N2O_CH4'!B5</f>
        <v>3259.1533041574867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13.166160124045742</v>
      </c>
      <c r="C27" s="243">
        <f>B27*'GWP N2O_CH4'!B5</f>
        <v>276.4893626049606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2.5042382471014619</v>
      </c>
      <c r="C28" s="243">
        <f>B28*'GWP N2O_CH4'!B4</f>
        <v>776.31385660145315</v>
      </c>
      <c r="D28" s="50"/>
    </row>
    <row r="29" spans="1:4">
      <c r="A29" s="41" t="s">
        <v>271</v>
      </c>
      <c r="B29" s="243">
        <f>B34*'ha_N2O bodem landbouw'!B4</f>
        <v>13.289646610440322</v>
      </c>
      <c r="C29" s="243">
        <f>B29*'GWP N2O_CH4'!B4</f>
        <v>4119.7904492364996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3.0326515583428354E-3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5.8440626080831699E-4</v>
      </c>
      <c r="C5" s="431" t="s">
        <v>210</v>
      </c>
      <c r="D5" s="416">
        <f>SUM(D6:D11)</f>
        <v>1.0014158789043268E-3</v>
      </c>
      <c r="E5" s="416">
        <f>SUM(E6:E11)</f>
        <v>1.8427448979147238E-3</v>
      </c>
      <c r="F5" s="429" t="s">
        <v>210</v>
      </c>
      <c r="G5" s="416">
        <f>SUM(G6:G11)</f>
        <v>0.66897375799877545</v>
      </c>
      <c r="H5" s="416">
        <f>SUM(H6:H11)</f>
        <v>0.16242116483262797</v>
      </c>
      <c r="I5" s="431" t="s">
        <v>210</v>
      </c>
      <c r="J5" s="431" t="s">
        <v>210</v>
      </c>
      <c r="K5" s="431" t="s">
        <v>210</v>
      </c>
      <c r="L5" s="431" t="s">
        <v>210</v>
      </c>
      <c r="M5" s="416">
        <f>SUM(M6:M11)</f>
        <v>4.3866845118367061E-2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1.595080791840386E-4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2.6816113049336269E-4</v>
      </c>
      <c r="E6" s="859">
        <f>vkm_GW_PW*SUMIFS(TableVerdeelsleutelVkm[LPG],TableVerdeelsleutelVkm[Voertuigtype],"Lichte voertuigen")*SUMIFS(TableECFTransport[EnergieConsumptieFactor (PJ per km)],TableECFTransport[Index],CONCATENATE($A6,"_LPG_LPG"))</f>
        <v>4.7183180638573914E-4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0.13999113083686737</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4.3325078396040773E-2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9.4545695050345779E-3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1.5947456409366799E-6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5.1223897551853421E-2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8.3574794262079347E-7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2.9927840735928307E-3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2.0243510124408467E-4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4.363766979265683E-4</v>
      </c>
      <c r="E8" s="419">
        <f>vkm_NGW_PW*SUMIFS(TableVerdeelsleutelVkm[LPG],TableVerdeelsleutelVkm[Voertuigtype],"Lichte voertuigen")*SUMIFS(TableECFTransport[EnergieConsumptieFactor (PJ per km)],TableECFTransport[Index],CONCATENATE($A8,"_LPG_LPG"))</f>
        <v>7.3524538483874435E-4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0.20286104172644173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6.9053012835023811E-2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1.3885230978295058E-2</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6.3880850027199133E-7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2.632697429682905E-2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4.0408341429557278E-7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1.5381670422410258E-3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2.1774602809117554E-4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2.9687805048439562E-4</v>
      </c>
      <c r="E10" s="419">
        <f>vkm_SW_PW*SUMIFS(TableVerdeelsleutelVkm[LPG],TableVerdeelsleutelVkm[Voertuigtype],"Lichte voertuigen")*SUMIFS(TableECFTransport[EnergieConsumptieFactor (PJ per km)],TableECFTransport[Index],CONCATENATE($A10,"_LPG_LPG"))</f>
        <v>6.3566770669024031E-4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0.17259015188977667</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5.0040494160849949E-2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1.1556884936036581E-2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2.483498147809391E-6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7.5980561697007204E-2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1.3396093565262433E-6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4.4392085831669878E-3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162.33507244675471</v>
      </c>
      <c r="C14" s="21"/>
      <c r="D14" s="21">
        <f t="shared" ref="D14:M14" si="0">((D5)*10^9/3600)+D12</f>
        <v>278.17107747342413</v>
      </c>
      <c r="E14" s="21">
        <f t="shared" si="0"/>
        <v>511.87358275408991</v>
      </c>
      <c r="F14" s="21"/>
      <c r="G14" s="21">
        <f t="shared" si="0"/>
        <v>185826.04388854874</v>
      </c>
      <c r="H14" s="21">
        <f t="shared" si="0"/>
        <v>45116.990231285548</v>
      </c>
      <c r="I14" s="21"/>
      <c r="J14" s="21"/>
      <c r="K14" s="21"/>
      <c r="L14" s="21"/>
      <c r="M14" s="21">
        <f t="shared" si="0"/>
        <v>12185.234755101961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0.1823982937847132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29.609640235705868</v>
      </c>
      <c r="C18" s="23"/>
      <c r="D18" s="23">
        <f t="shared" ref="D18:M18" si="1">D14*D16</f>
        <v>56.190557649631678</v>
      </c>
      <c r="E18" s="23">
        <f t="shared" si="1"/>
        <v>116.19530328517841</v>
      </c>
      <c r="F18" s="23"/>
      <c r="G18" s="23">
        <f t="shared" si="1"/>
        <v>49615.553718242518</v>
      </c>
      <c r="H18" s="23">
        <f t="shared" si="1"/>
        <v>11234.130567590102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1.6437030793839166E-4</v>
      </c>
      <c r="C50" s="313">
        <f t="shared" ref="C50:P50" si="2">SUM(C51:C52)</f>
        <v>0</v>
      </c>
      <c r="D50" s="313">
        <f t="shared" si="2"/>
        <v>0</v>
      </c>
      <c r="E50" s="313">
        <f t="shared" si="2"/>
        <v>0</v>
      </c>
      <c r="F50" s="313">
        <f t="shared" si="2"/>
        <v>0</v>
      </c>
      <c r="G50" s="313">
        <f t="shared" si="2"/>
        <v>1.5440958908203382E-2</v>
      </c>
      <c r="H50" s="313">
        <f t="shared" si="2"/>
        <v>0</v>
      </c>
      <c r="I50" s="313">
        <f t="shared" si="2"/>
        <v>0</v>
      </c>
      <c r="J50" s="313">
        <f t="shared" si="2"/>
        <v>0</v>
      </c>
      <c r="K50" s="313">
        <f t="shared" si="2"/>
        <v>0</v>
      </c>
      <c r="L50" s="313">
        <f t="shared" si="2"/>
        <v>0</v>
      </c>
      <c r="M50" s="313">
        <f t="shared" si="2"/>
        <v>8.8919846179685445E-4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1.6437030793839166E-4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1.5440958908203382E-2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8.8919846179685445E-4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45.65841887177546</v>
      </c>
      <c r="C54" s="21">
        <f t="shared" ref="C54:P54" si="3">(C50)*10^9/3600</f>
        <v>0</v>
      </c>
      <c r="D54" s="21">
        <f t="shared" si="3"/>
        <v>0</v>
      </c>
      <c r="E54" s="21">
        <f t="shared" si="3"/>
        <v>0</v>
      </c>
      <c r="F54" s="21">
        <f t="shared" si="3"/>
        <v>0</v>
      </c>
      <c r="G54" s="21">
        <f t="shared" si="3"/>
        <v>4289.1552522787169</v>
      </c>
      <c r="H54" s="21">
        <f t="shared" si="3"/>
        <v>0</v>
      </c>
      <c r="I54" s="21">
        <f t="shared" si="3"/>
        <v>0</v>
      </c>
      <c r="J54" s="21">
        <f t="shared" si="3"/>
        <v>0</v>
      </c>
      <c r="K54" s="21">
        <f t="shared" si="3"/>
        <v>0</v>
      </c>
      <c r="L54" s="21">
        <f t="shared" si="3"/>
        <v>0</v>
      </c>
      <c r="M54" s="21">
        <f t="shared" si="3"/>
        <v>246.99957272134847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0.1823982937847132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8.3280176991195933</v>
      </c>
      <c r="C58" s="23">
        <f t="shared" ref="C58:P58" ca="1" si="4">C54*C56</f>
        <v>0</v>
      </c>
      <c r="D58" s="23">
        <f t="shared" si="4"/>
        <v>0</v>
      </c>
      <c r="E58" s="23">
        <f t="shared" si="4"/>
        <v>0</v>
      </c>
      <c r="F58" s="23">
        <f t="shared" si="4"/>
        <v>0</v>
      </c>
      <c r="G58" s="23">
        <f t="shared" si="4"/>
        <v>1145.2044523584175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17482.848471334517</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4558.1595470174088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24.75</v>
      </c>
      <c r="C8" s="538">
        <f>B48</f>
        <v>29.117647058823533</v>
      </c>
      <c r="D8" s="1004"/>
      <c r="E8" s="1004">
        <f>E48</f>
        <v>0</v>
      </c>
      <c r="F8" s="1005"/>
      <c r="G8" s="539"/>
      <c r="H8" s="1004">
        <f>I48</f>
        <v>0</v>
      </c>
      <c r="I8" s="1004">
        <f>G48+F48</f>
        <v>0</v>
      </c>
      <c r="J8" s="1004">
        <f>H48+D48+C48</f>
        <v>0</v>
      </c>
      <c r="K8" s="1004"/>
      <c r="L8" s="1004"/>
      <c r="M8" s="1004"/>
      <c r="N8" s="540"/>
      <c r="O8" s="541">
        <f>C8*$C$12+D8*$D$12+E8*$E$12+F8*$F$12+G8*$G$12+H8*$H$12+I8*$I$12+J8*$J$12</f>
        <v>5.8817647058823539</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22065.758018351924</v>
      </c>
      <c r="C10" s="551">
        <f t="shared" ref="C10:L10" si="0">SUM(C8:C9)</f>
        <v>29.117647058823533</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5.8817647058823539</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35.357142857142861</v>
      </c>
      <c r="C17" s="563">
        <f>B49</f>
        <v>41.596638655462193</v>
      </c>
      <c r="D17" s="564"/>
      <c r="E17" s="564">
        <f>E49</f>
        <v>0</v>
      </c>
      <c r="F17" s="1010"/>
      <c r="G17" s="565"/>
      <c r="H17" s="563">
        <f>I49</f>
        <v>0</v>
      </c>
      <c r="I17" s="564">
        <f>G49+F49</f>
        <v>0</v>
      </c>
      <c r="J17" s="564">
        <f>H49+D49+C49</f>
        <v>0</v>
      </c>
      <c r="K17" s="564"/>
      <c r="L17" s="564"/>
      <c r="M17" s="564"/>
      <c r="N17" s="1011"/>
      <c r="O17" s="566">
        <f>C17*$C$22+E17*$E$22+H17*$H$22+I17*$I$22+J17*$J$22+D17*$D$22+F17*$F$22+G17*$G$22+K17*$K$22+L17*$L$22</f>
        <v>8.4025210084033635</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35.357142857142861</v>
      </c>
      <c r="C20" s="550">
        <f>SUM(C17:C19)</f>
        <v>41.596638655462193</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8.4025210084033635</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23077</v>
      </c>
      <c r="C28" s="764">
        <v>1600</v>
      </c>
      <c r="D28" s="621" t="s">
        <v>902</v>
      </c>
      <c r="E28" s="620" t="s">
        <v>903</v>
      </c>
      <c r="F28" s="620" t="s">
        <v>904</v>
      </c>
      <c r="G28" s="620" t="s">
        <v>905</v>
      </c>
      <c r="H28" s="620" t="s">
        <v>906</v>
      </c>
      <c r="I28" s="620" t="s">
        <v>903</v>
      </c>
      <c r="J28" s="763">
        <v>42046</v>
      </c>
      <c r="K28" s="763">
        <v>42083</v>
      </c>
      <c r="L28" s="620" t="s">
        <v>907</v>
      </c>
      <c r="M28" s="620">
        <v>5.5</v>
      </c>
      <c r="N28" s="620">
        <v>24.75</v>
      </c>
      <c r="O28" s="620">
        <v>35.357142857142861</v>
      </c>
      <c r="P28" s="620">
        <v>70.714285714285722</v>
      </c>
      <c r="Q28" s="620">
        <v>0</v>
      </c>
      <c r="R28" s="620">
        <v>0</v>
      </c>
      <c r="S28" s="620">
        <v>0</v>
      </c>
      <c r="T28" s="620">
        <v>0</v>
      </c>
      <c r="U28" s="620">
        <v>0</v>
      </c>
      <c r="V28" s="620">
        <v>0</v>
      </c>
      <c r="W28" s="620">
        <v>0</v>
      </c>
      <c r="X28" s="620">
        <v>1100</v>
      </c>
      <c r="Y28" s="620" t="s">
        <v>51</v>
      </c>
      <c r="Z28" s="622" t="s">
        <v>155</v>
      </c>
    </row>
    <row r="29" spans="1:26" s="558" customFormat="1">
      <c r="A29" s="576" t="s">
        <v>274</v>
      </c>
      <c r="B29" s="577"/>
      <c r="C29" s="577"/>
      <c r="D29" s="577"/>
      <c r="E29" s="577"/>
      <c r="F29" s="577"/>
      <c r="G29" s="577"/>
      <c r="H29" s="577"/>
      <c r="I29" s="577"/>
      <c r="J29" s="577"/>
      <c r="K29" s="577"/>
      <c r="L29" s="578"/>
      <c r="M29" s="578">
        <f>SUM(M28:M28)</f>
        <v>5.5</v>
      </c>
      <c r="N29" s="578">
        <f>SUM(N28:N28)</f>
        <v>24.75</v>
      </c>
      <c r="O29" s="578">
        <f>SUM(O28:O28)</f>
        <v>35.357142857142861</v>
      </c>
      <c r="P29" s="578">
        <f>SUM(P28:P28)</f>
        <v>70.714285714285722</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5.5</v>
      </c>
      <c r="N31" s="578">
        <f ca="1">SUMIF($Z$28:AD28,"tertiair",N28:N28)</f>
        <v>24.75</v>
      </c>
      <c r="O31" s="578">
        <f ca="1">SUMIF($Z$28:AE28,"tertiair",O28:O28)</f>
        <v>35.357142857142861</v>
      </c>
      <c r="P31" s="578">
        <f ca="1">SUMIF($Z$28:AF28,"tertiair",P28:P28)</f>
        <v>70.714285714285722</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29.117647058823533</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41.596638655462193</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2021-06-29T15:38:24Z</dcterms:modified>
</cp:coreProperties>
</file>