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<sst xmlns="http://schemas.openxmlformats.org/spreadsheetml/2006/main" count="2485" uniqueCount="908">
  <si>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</si>
  <si>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</si>
  <si>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</si>
  <si>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</si>
  <si>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</si>
  <si>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</si>
  <si>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</si>
  <si>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</si>
  <si>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</si>
  <si>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</si>
  <si>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</si>
  <si>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</si>
  <si>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</si>
  <si>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</si>
  <si>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</si>
  <si>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</si>
  <si>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</si>
  <si>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</si>
  <si>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</si>
  <si>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</si>
  <si>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</si>
  <si>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</si>
  <si>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</si>
  <si>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</si>
  <si>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</si>
  <si>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</si>
  <si>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</si>
  <si>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</si>
  <si>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</si>
  <si>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</si>
  <si>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</si>
  <si>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</si>
  <si>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</si>
  <si>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</si>
  <si>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</si>
  <si>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</si>
  <si>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</si>
  <si>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</si>
  <si>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</si>
  <si>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</si>
  <si>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</si>
  <si>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</si>
  <si>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</si>
  <si>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</si>
  <si>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</si>
  <si>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</si>
  <si>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</si>
  <si>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</si>
  <si>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</si>
  <si>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</si>
  <si>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</si>
  <si>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</si>
  <si>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</si>
  <si>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</si>
  <si>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</si>
  <si>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</si>
  <si>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</si>
  <si>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</si>
  <si>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</si>
  <si>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</si>
  <si>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</si>
  <si>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</si>
  <si>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</si>
  <si>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</si>
  <si>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</si>
  <si>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</si>
  <si>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</si>
  <si>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</si>
  <si>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</si>
  <si>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</si>
  <si>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</si>
  <si>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</si>
  <si>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</si>
  <si>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</si>
  <si>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</si>
  <si>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</si>
  <si>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</si>
  <si>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</si>
  <si>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</si>
  <si>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</si>
  <si>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</si>
  <si>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</si>
  <si>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</si>
  <si>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</si>
  <si>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</si>
  <si>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</si>
  <si>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</si>
  <si>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</si>
  <si>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</si>
  <si>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</si>
  <si>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</si>
  <si>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</si>
  <si>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</si>
  <si>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</si>
  <si>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</si>
  <si>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</si>
  <si>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</si>
  <si>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</si>
  <si>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</si>
  <si>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</si>
  <si>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</si>
  <si>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</si>
  <si>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</si>
  <si>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</si>
  <si>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</si>
  <si>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</si>
  <si>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</si>
  <si>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</si>
  <si>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</si>
  <si>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</si>
  <si>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</si>
  <si>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</si>
  <si>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</si>
  <si>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</si>
  <si>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</si>
  <si>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</si>
  <si>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</si>
  <si>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</si>
  <si>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</si>
  <si>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</si>
  <si>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</si>
  <si>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</si>
  <si>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</si>
  <si>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</si>
  <si>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</si>
  <si>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</si>
  <si>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</si>
  <si>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</si>
  <si>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</si>
  <si>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</si>
  <si>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</si>
  <si>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</si>
  <si>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</si>
  <si>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</si>
  <si>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</si>
  <si>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</si>
  <si>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</si>
  <si>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</si>
  <si>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</si>
  <si>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</si>
  <si>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</si>
  <si>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</si>
  <si>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</si>
  <si>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</si>
  <si>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</si>
  <si>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</si>
  <si>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</si>
  <si>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</si>
  <si>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</si>
  <si>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</si>
  <si>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</si>
  <si>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</si>
  <si>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</si>
  <si>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</si>
  <si>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</si>
  <si>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</si>
  <si>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</si>
  <si>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</si>
  <si>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</si>
  <si>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</si>
  <si>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</si>
  <si>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</si>
  <si>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</si>
  <si>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</si>
  <si>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</si>
  <si>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</si>
  <si>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</si>
  <si>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</si>
  <si>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</si>
  <si>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</si>
  <si>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</si>
  <si>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</si>
  <si>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</si>
  <si>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</si>
  <si>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</si>
  <si>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</si>
  <si>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</si>
  <si>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</si>
  <si>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</si>
  <si>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</si>
  <si>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</si>
  <si>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</si>
  <si>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</si>
  <si>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</si>
  <si>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</si>
  <si>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</si>
  <si>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</si>
  <si>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</si>
  <si>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</si>
  <si>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</si>
  <si>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</si>
  <si>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</si>
  <si>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</si>
  <si>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</si>
  <si>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</si>
  <si>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</si>
  <si>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</si>
  <si>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</si>
  <si>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</si>
  <si>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</si>
  <si>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</si>
  <si>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</si>
  <si>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</si>
  <si>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</si>
  <si>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</si>
  <si>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</si>
  <si>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</si>
  <si>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</si>
  <si>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</si>
  <si>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</si>
  <si>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</si>
  <si>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</si>
  <si>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</si>
  <si>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</si>
  <si>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</si>
  <si>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</si>
  <si>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</si>
  <si>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</si>
  <si>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</si>
  <si>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</si>
  <si>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</si>
  <si>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</si>
  <si>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</si>
  <si>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</si>
  <si>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</si>
  <si>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</si>
  <si>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</si>
  <si>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</si>
  <si>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</si>
  <si>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</si>
  <si>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</si>
  <si>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</si>
  <si>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</si>
  <si>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</si>
  <si>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</si>
  <si>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</si>
  <si>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</si>
  <si>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</si>
  <si>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</si>
  <si>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</si>
  <si>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</si>
  <si>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</si>
  <si>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</si>
  <si>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</si>
  <si>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</si>
  <si>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</si>
  <si>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</si>
  <si>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</si>
  <si>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</si>
  <si>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</si>
  <si>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</si>
  <si>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</si>
  <si>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</si>
  <si>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</si>
  <si>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</si>
  <si>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</si>
  <si>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</si>
  <si>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</si>
  <si>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</si>
  <si>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</si>
  <si>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</si>
  <si>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</si>
  <si>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</si>
  <si>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</si>
  <si>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</si>
  <si>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</si>
  <si>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</si>
  <si>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</si>
  <si>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</si>
  <si>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</si>
  <si>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</si>
  <si>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</si>
  <si>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</si>
  <si>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</si>
  <si>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</si>
  <si>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</si>
  <si>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</si>
  <si>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</si>
  <si>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</si>
  <si>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</si>
  <si>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</si>
  <si>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</si>
  <si>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</si>
  <si>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</si>
  <si>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</si>
  <si>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</si>
  <si>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</si>
  <si>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</si>
  <si>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</si>
  <si>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</si>
  <si>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</si>
  <si>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</si>
  <si>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</si>
  <si>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</si>
  <si>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</si>
  <si>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</si>
  <si>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</si>
  <si>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</si>
  <si>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</si>
  <si>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</si>
  <si>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</si>
  <si>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</si>
  <si>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</si>
  <si>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</si>
  <si>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</si>
  <si>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</si>
  <si>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</si>
  <si>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</si>
  <si>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</si>
  <si>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</si>
  <si>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</si>
  <si>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</si>
  <si>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</si>
  <si>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</si>
  <si>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</si>
  <si>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</si>
  <si>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</si>
  <si>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</si>
  <si>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</si>
  <si>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</si>
  <si>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</si>
  <si>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</si>
  <si>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</si>
  <si>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</si>
  <si>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</si>
  <si>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</si>
  <si>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</si>
  <si>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</si>
  <si>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</si>
  <si>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</si>
  <si>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</si>
  <si>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</si>
  <si>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</si>
  <si>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</si>
  <si>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</si>
  <si>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</si>
  <si>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</si>
  <si>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</si>
  <si>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</si>
  <si>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</si>
  <si>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</si>
  <si>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</si>
  <si>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</si>
  <si>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</si>
  <si>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</si>
  <si>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</si>
  <si>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</si>
  <si>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</si>
  <si>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</si>
  <si>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</si>
  <si>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</si>
  <si>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</si>
  <si>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</si>
  <si>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</si>
  <si>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</si>
  <si>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</si>
  <si>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</si>
  <si>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</si>
  <si>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</si>
  <si>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</si>
  <si>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</si>
  <si>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</si>
  <si>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</si>
  <si>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</si>
  <si>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</si>
  <si>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</si>
  <si>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</si>
  <si>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</si>
  <si>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</si>
  <si>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</si>
  <si>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</si>
  <si>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</si>
  <si>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</si>
  <si>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</si>
  <si>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</si>
  <si>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</si>
  <si>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</si>
  <si>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</si>
  <si>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</si>
  <si>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</si>
  <si>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</si>
  <si>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</si>
  <si>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</si>
  <si>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</si>
  <si>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</si>
  <si>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</si>
  <si>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</si>
  <si>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</si>
  <si>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</si>
  <si>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</si>
  <si>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</si>
  <si>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</si>
  <si>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</si>
  <si>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</si>
  <si>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</si>
  <si>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</si>
  <si>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</si>
  <si>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</si>
  <si>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</si>
  <si>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</si>
  <si>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</si>
  <si>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</si>
  <si>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</si>
  <si>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</si>
  <si>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</si>
  <si>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</si>
  <si>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</si>
  <si>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</si>
  <si>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</si>
  <si>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</si>
  <si>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</si>
  <si>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</si>
  <si>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</si>
  <si>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</si>
  <si>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</si>
  <si>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</si>
  <si>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</si>
  <si>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</si>
  <si>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</si>
  <si>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</si>
  <si>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</si>
  <si>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</si>
  <si>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</si>
  <si>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</si>
  <si>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</si>
  <si>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</si>
  <si>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</si>
  <si>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</si>
  <si>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</si>
  <si>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</si>
  <si>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</si>
  <si>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</si>
  <si>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</si>
  <si>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</si>
  <si>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</si>
  <si>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</si>
  <si>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</si>
  <si>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</si>
  <si>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</si>
  <si>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</si>
  <si>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</si>
  <si>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</si>
  <si>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</si>
  <si>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</si>
  <si>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</si>
  <si>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</si>
  <si>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</si>
  <si>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</si>
  <si>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</si>
  <si>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</si>
  <si>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</si>
  <si>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</si>
  <si>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</si>
  <si>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</si>
  <si>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</si>
  <si>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</si>
  <si>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</si>
  <si>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</si>
  <si>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</si>
  <si>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</si>
  <si>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</si>
  <si>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</si>
  <si>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</si>
  <si>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</si>
  <si>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</si>
  <si>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</si>
  <si>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</si>
  <si>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</si>
  <si>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</si>
  <si>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</si>
  <si>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</si>
  <si>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</si>
  <si>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</si>
  <si>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</si>
  <si>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</si>
  <si>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</si>
  <si>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</si>
  <si>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</si>
  <si>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</si>
  <si>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</si>
  <si>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</si>
  <si>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</si>
  <si>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</si>
  <si>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</si>
  <si>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</si>
  <si>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</si>
  <si>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</si>
  <si>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</si>
  <si>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</si>
  <si>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</si>
  <si>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</si>
  <si>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</si>
  <si>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</si>
  <si>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</si>
  <si>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</si>
  <si>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</si>
  <si>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</si>
  <si>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</si>
  <si>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</si>
  <si>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</si>
  <si>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</si>
  <si>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</si>
  <si>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</si>
  <si>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</si>
  <si>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</si>
  <si>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</si>
  <si>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</si>
  <si>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</si>
  <si>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</si>
  <si>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</si>
  <si>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</si>
  <si>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</si>
  <si>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</si>
  <si>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</si>
  <si>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</si>
  <si>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</si>
  <si>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</si>
  <si>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</si>
  <si>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</si>
  <si>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</si>
  <si>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</si>
  <si>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</si>
  <si>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</si>
  <si>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</si>
  <si>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</si>
  <si>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</si>
  <si>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</si>
  <si>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</si>
  <si>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</si>
  <si>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</si>
  <si>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</si>
  <si>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</si>
  <si>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</si>
  <si>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</si>
  <si>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</si>
  <si>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</si>
  <si>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</si>
  <si>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</si>
  <si>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</si>
  <si>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</si>
  <si>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</si>
  <si>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</si>
  <si>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</si>
  <si>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</si>
  <si>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</si>
  <si>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</si>
  <si>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</si>
  <si>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</si>
  <si>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</si>
  <si>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</si>
  <si>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</si>
  <si>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</si>
  <si>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</si>
  <si>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</si>
  <si>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</si>
  <si>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</si>
  <si>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</si>
  <si>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</si>
  <si>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</si>
  <si>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</si>
  <si>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</si>
  <si>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</si>
  <si>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</si>
  <si>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</si>
  <si>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</si>
  <si>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</si>
  <si>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</si>
  <si>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</si>
  <si>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</si>
  <si>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</si>
  <si>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</si>
  <si>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</si>
  <si>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</si>
  <si>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</si>
  <si>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</si>
  <si>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</si>
  <si>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</si>
  <si>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</si>
  <si>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</si>
  <si>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</si>
  <si>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</si>
  <si>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</si>
  <si>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</si>
  <si>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</si>
  <si>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</si>
  <si>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</si>
  <si>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</si>
  <si>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</si>
  <si>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</si>
  <si>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</si>
  <si>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</si>
  <si>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</si>
  <si>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</si>
  <si>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</si>
  <si>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</si>
  <si>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</si>
  <si>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</si>
  <si>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</si>
  <si>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</si>
  <si>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</si>
  <si>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</si>
  <si>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</si>
  <si>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</si>
  <si>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</si>
  <si>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</si>
  <si>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</si>
  <si>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</si>
  <si>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</si>
  <si>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</si>
  <si>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</si>
  <si>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</si>
  <si>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</si>
  <si>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</si>
  <si>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</si>
  <si>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</si>
  <si>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</si>
  <si>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</si>
  <si>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</si>
  <si>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</si>
  <si>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</si>
  <si>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</si>
  <si>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</si>
  <si>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</si>
  <si>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</si>
  <si>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</si>
  <si>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</si>
  <si>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</si>
  <si>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</si>
  <si>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</si>
  <si>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</si>
  <si>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</si>
  <si>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</si>
  <si>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</si>
  <si>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</si>
  <si>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</si>
  <si>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</si>
  <si>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</si>
  <si>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</si>
  <si>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</si>
  <si>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</si>
  <si>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</si>
  <si>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</si>
  <si>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</si>
  <si>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</si>
  <si>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</si>
  <si>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</si>
  <si>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</si>
  <si>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</si>
  <si>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</si>
  <si>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</si>
  <si>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</si>
  <si>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</si>
  <si>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</si>
  <si>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</si>
  <si>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</si>
  <si>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</si>
  <si>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</si>
  <si>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</si>
  <si>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</si>
  <si>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</si>
  <si>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</si>
  <si>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</si>
  <si>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</si>
  <si>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</si>
  <si>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</si>
  <si>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</si>
  <si>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</si>
  <si>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</si>
  <si>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</si>
  <si>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</si>
  <si>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</si>
  <si>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</si>
  <si>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</si>
  <si>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</si>
  <si>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</si>
  <si>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</si>
  <si>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</si>
  <si>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</si>
  <si>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</si>
  <si>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</si>
  <si>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</si>
  <si>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</si>
  <si>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</si>
  <si>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</si>
  <si>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</si>
  <si>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</si>
  <si>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</si>
  <si>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</si>
  <si>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</si>
  <si>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</si>
  <si>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</si>
  <si>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</si>
  <si>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</si>
  <si>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</si>
  <si>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</si>
  <si>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</si>
  <si>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</si>
  <si>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</si>
  <si>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</si>
  <si>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</si>
  <si>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</si>
  <si>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</si>
  <si>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</si>
  <si>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</si>
  <si>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</si>
  <si>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</si>
  <si>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</si>
  <si>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</si>
  <si>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</si>
  <si>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</si>
  <si>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</si>
  <si>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</si>
  <si>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</si>
  <si>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</si>
  <si>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</si>
  <si>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</si>
  <si>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</si>
  <si>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</si>
  <si>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</si>
  <si>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</si>
  <si>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</si>
  <si>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</si>
  <si>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</si>
  <si>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</si>
  <si>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</si>
  <si>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</si>
  <si>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</si>
  <si>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</si>
  <si>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</si>
  <si>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</si>
  <si>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</si>
  <si>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</si>
  <si>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</si>
  <si>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</si>
  <si>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</si>
  <si>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</si>
  <si>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</si>
  <si>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</si>
  <si>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</si>
  <si>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</si>
  <si>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</si>
  <si>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</si>
  <si>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</si>
  <si>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</si>
  <si>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</si>
  <si>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</si>
  <si>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</si>
  <si>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</si>
  <si>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</si>
  <si>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</si>
  <si>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</si>
  <si>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</si>
  <si>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</si>
  <si>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</si>
  <si>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</si>
  <si>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</si>
  <si>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</si>
  <si>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</si>
  <si>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</si>
  <si>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</si>
  <si>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</si>
  <si>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</si>
  <si>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</si>
  <si>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</si>
  <si>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</si>
  <si>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</si>
  <si>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</si>
  <si>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</si>
  <si>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</si>
  <si>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</si>
  <si>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</si>
  <si>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</si>
  <si>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</si>
  <si>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</si>
  <si>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</si>
  <si>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</si>
  <si>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</si>
  <si>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</si>
  <si>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</si>
  <si>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</si>
  <si>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</si>
  <si>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</si>
  <si>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</si>
  <si>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</si>
  <si>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</si>
  <si>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</si>
  <si>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</si>
  <si>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</si>
  <si>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</si>
  <si>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</si>
  <si>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</si>
  <si>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</si>
  <si>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</si>
  <si>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</si>
  <si>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</si>
  <si>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</si>
  <si>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</si>
  <si>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</si>
  <si>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</si>
  <si>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</si>
  <si>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</si>
  <si>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</si>
  <si>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</si>
  <si>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</si>
  <si>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</si>
  <si>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</si>
  <si>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</si>
  <si>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</si>
  <si>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</si>
  <si>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</si>
  <si>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</si>
  <si>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</si>
  <si>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</si>
  <si>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</si>
  <si>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</si>
  <si>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</si>
  <si>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</si>
  <si>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</si>
  <si>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</si>
  <si>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</si>
  <si>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</si>
  <si>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</si>
  <si>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</si>
  <si>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</si>
  <si>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</si>
  <si>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</si>
  <si>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</si>
  <si>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</si>
  <si>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</si>
  <si>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</si>
  <si>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</si>
  <si>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</si>
  <si>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</si>
  <si>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</si>
  <si>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</si>
  <si>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</si>
  <si>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</si>
  <si>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</si>
  <si>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</si>
  <si>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</si>
  <si>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</si>
  <si>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</si>
  <si>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</si>
  <si>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</si>
  <si>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</si>
  <si>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</si>
  <si>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</si>
  <si>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</si>
  <si>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</si>
  <si>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</si>
  <si>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</si>
  <si>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</si>
  <si>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</si>
  <si>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</si>
  <si>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</si>
  <si>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</si>
  <si>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</si>
  <si>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</si>
  <si>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</si>
  <si>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</si>
  <si>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</si>
  <si>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</si>
  <si>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</si>
  <si>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</si>
  <si>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</si>
  <si>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</si>
  <si>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</si>
  <si>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</si>
  <si>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</si>
  <si>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</si>
  <si>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</si>
  <si>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</si>
  <si>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</si>
  <si>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</si>
  <si>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</si>
  <si>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</si>
  <si>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</si>
  <si>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</si>
  <si>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</si>
  <si>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</si>
  <si>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</si>
  <si>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</si>
  <si>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</si>
  <si>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</si>
  <si>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</si>
  <si>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</si>
  <si>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</si>
  <si>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</si>
  <si>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</si>
  <si>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</si>
  <si>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</si>
  <si>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</si>
  <si>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</si>
  <si>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</si>
  <si>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</si>
  <si>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</si>
  <si>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</si>
  <si>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</si>
  <si>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23024</t>
  </si>
  <si>
    <t>GOOIK</t>
  </si>
  <si>
    <t>Fluvius</t>
  </si>
  <si>
    <t>referentietaak LNE (2017); Jaarverslag De Lijn</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</si>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</sst>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78412.06195485963</c:v>
                </c:pt>
                <c:pt idx="1">
                  <c:v>13667.38118564075</c:v>
                </c:pt>
                <c:pt idx="2">
                  <c:v>533.43499999999995</c:v>
                </c:pt>
                <c:pt idx="3">
                  <c:v>5904.3199894269346</c:v>
                </c:pt>
                <c:pt idx="4">
                  <c:v>3448.5642145778975</c:v>
                </c:pt>
                <c:pt idx="5">
                  <c:v>69700.242416472174</c:v>
                </c:pt>
                <c:pt idx="6">
                  <c:v>2408.5246247766427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78412.06195485963</c:v>
                </c:pt>
                <c:pt idx="1">
                  <c:v>13667.38118564075</c:v>
                </c:pt>
                <c:pt idx="2">
                  <c:v>533.43499999999995</c:v>
                </c:pt>
                <c:pt idx="3">
                  <c:v>5904.3199894269346</c:v>
                </c:pt>
                <c:pt idx="4">
                  <c:v>3448.5642145778975</c:v>
                </c:pt>
                <c:pt idx="5">
                  <c:v>69700.242416472174</c:v>
                </c:pt>
                <c:pt idx="6">
                  <c:v>2408.5246247766427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16816.767788064313</c:v>
                </c:pt>
                <c:pt idx="2">
                  <c:v>2715.7940798780014</c:v>
                </c:pt>
                <c:pt idx="3">
                  <c:v>105.30031324069043</c:v>
                </c:pt>
                <c:pt idx="4">
                  <c:v>1494.0734988896829</c:v>
                </c:pt>
                <c:pt idx="5">
                  <c:v>711.50706679342716</c:v>
                </c:pt>
                <c:pt idx="6">
                  <c:v>17454.641056817607</c:v>
                </c:pt>
                <c:pt idx="7">
                  <c:v>606.73820407378366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16816.767788064313</c:v>
                </c:pt>
                <c:pt idx="2">
                  <c:v>2715.7940798780014</c:v>
                </c:pt>
                <c:pt idx="3">
                  <c:v>105.30031324069043</c:v>
                </c:pt>
                <c:pt idx="4">
                  <c:v>1494.0734988896829</c:v>
                </c:pt>
                <c:pt idx="5">
                  <c:v>711.50706679342716</c:v>
                </c:pt>
                <c:pt idx="6">
                  <c:v>17454.641056817607</c:v>
                </c:pt>
                <c:pt idx="7">
                  <c:v>606.73820407378366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23024</v>
      </c>
      <c r="B6" s="384"/>
      <c r="C6" s="385"/>
    </row>
    <row r="7" spans="1:7" s="382" customFormat="1" ht="15.75" customHeight="1">
      <c r="A7" s="386" t="str">
        <f>txtMunicipality</f>
        <v>GOOIK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7244.2280604242442</v>
      </c>
      <c r="D10" s="973">
        <f ca="1">tertiair!C16</f>
        <v>0</v>
      </c>
      <c r="E10" s="973">
        <f ca="1">tertiair!D16</f>
        <v>5286.4021825999998</v>
      </c>
      <c r="F10" s="973">
        <f>tertiair!E16</f>
        <v>97.400718947455033</v>
      </c>
      <c r="G10" s="973">
        <f ca="1">tertiair!F16</f>
        <v>1127.7663271790645</v>
      </c>
      <c r="H10" s="973">
        <f>tertiair!G16</f>
        <v>0</v>
      </c>
      <c r="I10" s="973">
        <f>tertiair!H16</f>
        <v>0</v>
      </c>
      <c r="J10" s="973">
        <f>tertiair!I16</f>
        <v>0</v>
      </c>
      <c r="K10" s="973">
        <f>tertiair!J16</f>
        <v>1.0292871535085162E-2</v>
      </c>
      <c r="L10" s="973">
        <f>tertiair!K16</f>
        <v>0</v>
      </c>
      <c r="M10" s="973">
        <f ca="1">tertiair!L16</f>
        <v>0</v>
      </c>
      <c r="N10" s="973">
        <f>tertiair!M16</f>
        <v>0</v>
      </c>
      <c r="O10" s="973">
        <f ca="1">tertiair!N16</f>
        <v>425.94193695178427</v>
      </c>
      <c r="P10" s="973">
        <f>tertiair!O16</f>
        <v>0</v>
      </c>
      <c r="Q10" s="974">
        <f>tertiair!P16</f>
        <v>19.066666666666666</v>
      </c>
      <c r="R10" s="668">
        <f ca="1">SUM(C10:Q10)</f>
        <v>14200.816185640748</v>
      </c>
      <c r="S10" s="67"/>
    </row>
    <row r="11" spans="1:19" s="441" customFormat="1">
      <c r="A11" s="777" t="s">
        <v>219</v>
      </c>
      <c r="B11" s="782"/>
      <c r="C11" s="973">
        <f>huishoudens!B8</f>
        <v>15968.741404945447</v>
      </c>
      <c r="D11" s="973">
        <f>huishoudens!C8</f>
        <v>0</v>
      </c>
      <c r="E11" s="973">
        <f>huishoudens!D8</f>
        <v>18011.800638700002</v>
      </c>
      <c r="F11" s="973">
        <f>huishoudens!E8</f>
        <v>1425.2335324234225</v>
      </c>
      <c r="G11" s="973">
        <f>huishoudens!F8</f>
        <v>36109.029075180937</v>
      </c>
      <c r="H11" s="973">
        <f>huishoudens!G8</f>
        <v>0</v>
      </c>
      <c r="I11" s="973">
        <f>huishoudens!H8</f>
        <v>0</v>
      </c>
      <c r="J11" s="973">
        <f>huishoudens!I8</f>
        <v>0</v>
      </c>
      <c r="K11" s="973">
        <f>huishoudens!J8</f>
        <v>173.75259679437485</v>
      </c>
      <c r="L11" s="973">
        <f>huishoudens!K8</f>
        <v>0</v>
      </c>
      <c r="M11" s="973">
        <f>huishoudens!L8</f>
        <v>0</v>
      </c>
      <c r="N11" s="973">
        <f>huishoudens!M8</f>
        <v>0</v>
      </c>
      <c r="O11" s="973">
        <f>huishoudens!N8</f>
        <v>5832.001373482105</v>
      </c>
      <c r="P11" s="973">
        <f>huishoudens!O8</f>
        <v>186.03666666666666</v>
      </c>
      <c r="Q11" s="974">
        <f>huishoudens!P8</f>
        <v>705.4666666666667</v>
      </c>
      <c r="R11" s="668">
        <f>SUM(C11:Q11)</f>
        <v>78412.06195485963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2052.066617</v>
      </c>
      <c r="D13" s="973">
        <f>industrie!C18</f>
        <v>0</v>
      </c>
      <c r="E13" s="973">
        <f>industrie!D18</f>
        <v>317.64381000000003</v>
      </c>
      <c r="F13" s="973">
        <f>industrie!E18</f>
        <v>230.63942176926733</v>
      </c>
      <c r="G13" s="973">
        <f>industrie!F18</f>
        <v>709.75569426546872</v>
      </c>
      <c r="H13" s="973">
        <f>industrie!G18</f>
        <v>0</v>
      </c>
      <c r="I13" s="973">
        <f>industrie!H18</f>
        <v>0</v>
      </c>
      <c r="J13" s="973">
        <f>industrie!I18</f>
        <v>0</v>
      </c>
      <c r="K13" s="973">
        <f>industrie!J18</f>
        <v>1.1418313549845398</v>
      </c>
      <c r="L13" s="973">
        <f>industrie!K18</f>
        <v>0</v>
      </c>
      <c r="M13" s="973">
        <f>industrie!L18</f>
        <v>0</v>
      </c>
      <c r="N13" s="973">
        <f>industrie!M18</f>
        <v>0</v>
      </c>
      <c r="O13" s="973">
        <f>industrie!N18</f>
        <v>137.31684018817737</v>
      </c>
      <c r="P13" s="973">
        <f>industrie!O18</f>
        <v>0</v>
      </c>
      <c r="Q13" s="974">
        <f>industrie!P18</f>
        <v>0</v>
      </c>
      <c r="R13" s="668">
        <f>SUM(C13:Q13)</f>
        <v>3448.5642145778975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25265.036082369694</v>
      </c>
      <c r="D16" s="700">
        <f t="shared" ref="D16:R16" ca="1" si="0">SUM(D9:D15)</f>
        <v>0</v>
      </c>
      <c r="E16" s="700">
        <f t="shared" ca="1" si="0"/>
        <v>23615.846631300003</v>
      </c>
      <c r="F16" s="700">
        <f t="shared" si="0"/>
        <v>1753.2736731401449</v>
      </c>
      <c r="G16" s="700">
        <f t="shared" ca="1" si="0"/>
        <v>37946.551096625473</v>
      </c>
      <c r="H16" s="700">
        <f t="shared" si="0"/>
        <v>0</v>
      </c>
      <c r="I16" s="700">
        <f t="shared" si="0"/>
        <v>0</v>
      </c>
      <c r="J16" s="700">
        <f t="shared" si="0"/>
        <v>0</v>
      </c>
      <c r="K16" s="700">
        <f t="shared" si="0"/>
        <v>174.90472102089447</v>
      </c>
      <c r="L16" s="700">
        <f t="shared" si="0"/>
        <v>0</v>
      </c>
      <c r="M16" s="700">
        <f t="shared" ca="1" si="0"/>
        <v>0</v>
      </c>
      <c r="N16" s="700">
        <f t="shared" si="0"/>
        <v>0</v>
      </c>
      <c r="O16" s="700">
        <f t="shared" ca="1" si="0"/>
        <v>6395.2601506220672</v>
      </c>
      <c r="P16" s="700">
        <f t="shared" si="0"/>
        <v>186.03666666666666</v>
      </c>
      <c r="Q16" s="700">
        <f t="shared" si="0"/>
        <v>724.53333333333342</v>
      </c>
      <c r="R16" s="700">
        <f t="shared" ca="1" si="0"/>
        <v>96061.442355078281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24.001289517446281</v>
      </c>
      <c r="D19" s="973">
        <f>transport!C54</f>
        <v>0</v>
      </c>
      <c r="E19" s="973">
        <f>transport!D54</f>
        <v>0</v>
      </c>
      <c r="F19" s="973">
        <f>transport!E54</f>
        <v>0</v>
      </c>
      <c r="G19" s="973">
        <f>transport!F54</f>
        <v>0</v>
      </c>
      <c r="H19" s="973">
        <f>transport!G54</f>
        <v>2254.6829158566029</v>
      </c>
      <c r="I19" s="973">
        <f>transport!H54</f>
        <v>0</v>
      </c>
      <c r="J19" s="973">
        <f>transport!I54</f>
        <v>0</v>
      </c>
      <c r="K19" s="973">
        <f>transport!J54</f>
        <v>0</v>
      </c>
      <c r="L19" s="973">
        <f>transport!K54</f>
        <v>0</v>
      </c>
      <c r="M19" s="973">
        <f>transport!L54</f>
        <v>0</v>
      </c>
      <c r="N19" s="973">
        <f>transport!M54</f>
        <v>129.8404194025934</v>
      </c>
      <c r="O19" s="973">
        <f>transport!N54</f>
        <v>0</v>
      </c>
      <c r="P19" s="973">
        <f>transport!O54</f>
        <v>0</v>
      </c>
      <c r="Q19" s="974">
        <f>transport!P54</f>
        <v>0</v>
      </c>
      <c r="R19" s="668">
        <f>SUM(C19:Q19)</f>
        <v>2408.5246247766427</v>
      </c>
      <c r="S19" s="67"/>
    </row>
    <row r="20" spans="1:19" s="441" customFormat="1">
      <c r="A20" s="777" t="s">
        <v>301</v>
      </c>
      <c r="B20" s="782"/>
      <c r="C20" s="973">
        <f>transport!B14</f>
        <v>39.357348397995615</v>
      </c>
      <c r="D20" s="973">
        <f>transport!C14</f>
        <v>0</v>
      </c>
      <c r="E20" s="973">
        <f>transport!D14</f>
        <v>69.516077249784658</v>
      </c>
      <c r="F20" s="973">
        <f>transport!E14</f>
        <v>120.83645106759306</v>
      </c>
      <c r="G20" s="973">
        <f>transport!F14</f>
        <v>0</v>
      </c>
      <c r="H20" s="973">
        <f>transport!G14</f>
        <v>54775.708080225428</v>
      </c>
      <c r="I20" s="973">
        <f>transport!H14</f>
        <v>11165.806099624646</v>
      </c>
      <c r="J20" s="973">
        <f>transport!I14</f>
        <v>0</v>
      </c>
      <c r="K20" s="973">
        <f>transport!J14</f>
        <v>0</v>
      </c>
      <c r="L20" s="973">
        <f>transport!K14</f>
        <v>0</v>
      </c>
      <c r="M20" s="973">
        <f>transport!L14</f>
        <v>0</v>
      </c>
      <c r="N20" s="973">
        <f>transport!M14</f>
        <v>3529.0183599067273</v>
      </c>
      <c r="O20" s="973">
        <f>transport!N14</f>
        <v>0</v>
      </c>
      <c r="P20" s="973">
        <f>transport!O14</f>
        <v>0</v>
      </c>
      <c r="Q20" s="974">
        <f>transport!P14</f>
        <v>0</v>
      </c>
      <c r="R20" s="668">
        <f>SUM(C20:Q20)</f>
        <v>69700.242416472174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63.358637915441896</v>
      </c>
      <c r="D22" s="780">
        <f t="shared" ref="D22:R22" si="1">SUM(D18:D21)</f>
        <v>0</v>
      </c>
      <c r="E22" s="780">
        <f t="shared" si="1"/>
        <v>69.516077249784658</v>
      </c>
      <c r="F22" s="780">
        <f t="shared" si="1"/>
        <v>120.83645106759306</v>
      </c>
      <c r="G22" s="780">
        <f t="shared" si="1"/>
        <v>0</v>
      </c>
      <c r="H22" s="780">
        <f t="shared" si="1"/>
        <v>57030.390996082031</v>
      </c>
      <c r="I22" s="780">
        <f t="shared" si="1"/>
        <v>11165.806099624646</v>
      </c>
      <c r="J22" s="780">
        <f t="shared" si="1"/>
        <v>0</v>
      </c>
      <c r="K22" s="780">
        <f t="shared" si="1"/>
        <v>0</v>
      </c>
      <c r="L22" s="780">
        <f t="shared" si="1"/>
        <v>0</v>
      </c>
      <c r="M22" s="780">
        <f t="shared" si="1"/>
        <v>0</v>
      </c>
      <c r="N22" s="780">
        <f t="shared" si="1"/>
        <v>3658.8587793093207</v>
      </c>
      <c r="O22" s="780">
        <f t="shared" si="1"/>
        <v>0</v>
      </c>
      <c r="P22" s="780">
        <f t="shared" si="1"/>
        <v>0</v>
      </c>
      <c r="Q22" s="780">
        <f t="shared" si="1"/>
        <v>0</v>
      </c>
      <c r="R22" s="780">
        <f t="shared" si="1"/>
        <v>72108.767041248822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1086.7080000000001</v>
      </c>
      <c r="D24" s="973">
        <f>+landbouw!C8</f>
        <v>62.357142857142847</v>
      </c>
      <c r="E24" s="973">
        <f>+landbouw!D8</f>
        <v>38.705722000000002</v>
      </c>
      <c r="F24" s="973">
        <f>+landbouw!E8</f>
        <v>31.941667309337813</v>
      </c>
      <c r="G24" s="973">
        <f>+landbouw!F8</f>
        <v>4527.1668053818939</v>
      </c>
      <c r="H24" s="973">
        <f>+landbouw!G8</f>
        <v>0</v>
      </c>
      <c r="I24" s="973">
        <f>+landbouw!H8</f>
        <v>0</v>
      </c>
      <c r="J24" s="973">
        <f>+landbouw!I8</f>
        <v>0</v>
      </c>
      <c r="K24" s="973">
        <f>+landbouw!J8</f>
        <v>157.44065187856032</v>
      </c>
      <c r="L24" s="973">
        <f>+landbouw!K8</f>
        <v>0</v>
      </c>
      <c r="M24" s="973">
        <f>+landbouw!L8</f>
        <v>0</v>
      </c>
      <c r="N24" s="973">
        <f>+landbouw!M8</f>
        <v>0</v>
      </c>
      <c r="O24" s="973">
        <f>+landbouw!N8</f>
        <v>0</v>
      </c>
      <c r="P24" s="973">
        <f>+landbouw!O8</f>
        <v>0</v>
      </c>
      <c r="Q24" s="974">
        <f>+landbouw!P8</f>
        <v>0</v>
      </c>
      <c r="R24" s="668">
        <f>SUM(C24:Q24)</f>
        <v>5904.3199894269346</v>
      </c>
      <c r="S24" s="67"/>
    </row>
    <row r="25" spans="1:19" s="441" customFormat="1" ht="15" thickBot="1">
      <c r="A25" s="799" t="s">
        <v>808</v>
      </c>
      <c r="B25" s="976"/>
      <c r="C25" s="977">
        <f>IF(Onbekend_ele_kWh="---",0,Onbekend_ele_kWh)/1000+IF(REST_rest_ele_kWh="---",0,REST_rest_ele_kWh)/1000</f>
        <v>281.9631</v>
      </c>
      <c r="D25" s="977"/>
      <c r="E25" s="977">
        <f>IF(onbekend_gas_kWh="---",0,onbekend_gas_kWh)/1000+IF(REST_rest_gas_kWh="---",0,REST_rest_gas_kWh)/1000</f>
        <v>1320.7556999999999</v>
      </c>
      <c r="F25" s="977"/>
      <c r="G25" s="977"/>
      <c r="H25" s="977"/>
      <c r="I25" s="977"/>
      <c r="J25" s="977"/>
      <c r="K25" s="977"/>
      <c r="L25" s="977"/>
      <c r="M25" s="977"/>
      <c r="N25" s="977"/>
      <c r="O25" s="977"/>
      <c r="P25" s="977"/>
      <c r="Q25" s="978"/>
      <c r="R25" s="668">
        <f>SUM(C25:Q25)</f>
        <v>1602.7187999999999</v>
      </c>
      <c r="S25" s="67"/>
    </row>
    <row r="26" spans="1:19" s="441" customFormat="1" ht="15.75" thickBot="1">
      <c r="A26" s="673" t="s">
        <v>809</v>
      </c>
      <c r="B26" s="785"/>
      <c r="C26" s="780">
        <f>SUM(C24:C25)</f>
        <v>1368.6711</v>
      </c>
      <c r="D26" s="780">
        <f t="shared" ref="D26:R26" si="2">SUM(D24:D25)</f>
        <v>62.357142857142847</v>
      </c>
      <c r="E26" s="780">
        <f t="shared" si="2"/>
        <v>1359.4614219999999</v>
      </c>
      <c r="F26" s="780">
        <f t="shared" si="2"/>
        <v>31.941667309337813</v>
      </c>
      <c r="G26" s="780">
        <f t="shared" si="2"/>
        <v>4527.1668053818939</v>
      </c>
      <c r="H26" s="780">
        <f t="shared" si="2"/>
        <v>0</v>
      </c>
      <c r="I26" s="780">
        <f t="shared" si="2"/>
        <v>0</v>
      </c>
      <c r="J26" s="780">
        <f t="shared" si="2"/>
        <v>0</v>
      </c>
      <c r="K26" s="780">
        <f t="shared" si="2"/>
        <v>157.44065187856032</v>
      </c>
      <c r="L26" s="780">
        <f t="shared" si="2"/>
        <v>0</v>
      </c>
      <c r="M26" s="780">
        <f t="shared" si="2"/>
        <v>0</v>
      </c>
      <c r="N26" s="780">
        <f t="shared" si="2"/>
        <v>0</v>
      </c>
      <c r="O26" s="780">
        <f t="shared" si="2"/>
        <v>0</v>
      </c>
      <c r="P26" s="780">
        <f t="shared" si="2"/>
        <v>0</v>
      </c>
      <c r="Q26" s="780">
        <f t="shared" si="2"/>
        <v>0</v>
      </c>
      <c r="R26" s="780">
        <f t="shared" si="2"/>
        <v>7507.0387894269343</v>
      </c>
      <c r="S26" s="67"/>
    </row>
    <row r="27" spans="1:19" s="441" customFormat="1" ht="17.25" thickTop="1" thickBot="1">
      <c r="A27" s="674" t="s">
        <v>115</v>
      </c>
      <c r="B27" s="773"/>
      <c r="C27" s="675">
        <f ca="1">C22+C16+C26</f>
        <v>26697.065820285134</v>
      </c>
      <c r="D27" s="675">
        <f t="shared" ref="D27:R27" ca="1" si="3">D22+D16+D26</f>
        <v>62.357142857142847</v>
      </c>
      <c r="E27" s="675">
        <f t="shared" ca="1" si="3"/>
        <v>25044.824130549787</v>
      </c>
      <c r="F27" s="675">
        <f t="shared" si="3"/>
        <v>1906.0517915170758</v>
      </c>
      <c r="G27" s="675">
        <f t="shared" ca="1" si="3"/>
        <v>42473.717902007367</v>
      </c>
      <c r="H27" s="675">
        <f t="shared" si="3"/>
        <v>57030.390996082031</v>
      </c>
      <c r="I27" s="675">
        <f t="shared" si="3"/>
        <v>11165.806099624646</v>
      </c>
      <c r="J27" s="675">
        <f t="shared" si="3"/>
        <v>0</v>
      </c>
      <c r="K27" s="675">
        <f t="shared" si="3"/>
        <v>332.34537289945479</v>
      </c>
      <c r="L27" s="675">
        <f t="shared" si="3"/>
        <v>0</v>
      </c>
      <c r="M27" s="675">
        <f t="shared" ca="1" si="3"/>
        <v>0</v>
      </c>
      <c r="N27" s="675">
        <f t="shared" si="3"/>
        <v>3658.8587793093207</v>
      </c>
      <c r="O27" s="675">
        <f t="shared" ca="1" si="3"/>
        <v>6395.2601506220672</v>
      </c>
      <c r="P27" s="675">
        <f t="shared" si="3"/>
        <v>186.03666666666666</v>
      </c>
      <c r="Q27" s="675">
        <f t="shared" si="3"/>
        <v>724.53333333333342</v>
      </c>
      <c r="R27" s="675">
        <f t="shared" ca="1" si="3"/>
        <v>175677.24818575403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1430.0139359990858</v>
      </c>
      <c r="D40" s="973">
        <f ca="1">tertiair!C20</f>
        <v>0</v>
      </c>
      <c r="E40" s="973">
        <f ca="1">tertiair!D20</f>
        <v>1067.8532408852</v>
      </c>
      <c r="F40" s="973">
        <f>tertiair!E20</f>
        <v>22.109963201072294</v>
      </c>
      <c r="G40" s="973">
        <f ca="1">tertiair!F20</f>
        <v>301.11360935681023</v>
      </c>
      <c r="H40" s="973">
        <f>tertiair!G20</f>
        <v>0</v>
      </c>
      <c r="I40" s="973">
        <f>tertiair!H20</f>
        <v>0</v>
      </c>
      <c r="J40" s="973">
        <f>tertiair!I20</f>
        <v>0</v>
      </c>
      <c r="K40" s="973">
        <f>tertiair!J20</f>
        <v>3.6436765234201473E-3</v>
      </c>
      <c r="L40" s="973">
        <f>tertiair!K20</f>
        <v>0</v>
      </c>
      <c r="M40" s="973">
        <f ca="1">tertiair!L20</f>
        <v>0</v>
      </c>
      <c r="N40" s="973">
        <f>tertiair!M20</f>
        <v>0</v>
      </c>
      <c r="O40" s="973">
        <f ca="1">tertiair!N20</f>
        <v>0</v>
      </c>
      <c r="P40" s="973">
        <f>tertiair!O20</f>
        <v>0</v>
      </c>
      <c r="Q40" s="742">
        <f>tertiair!P20</f>
        <v>0</v>
      </c>
      <c r="R40" s="818">
        <f t="shared" ca="1" si="4"/>
        <v>2821.0943931186921</v>
      </c>
    </row>
    <row r="41" spans="1:18">
      <c r="A41" s="790" t="s">
        <v>219</v>
      </c>
      <c r="B41" s="797"/>
      <c r="C41" s="973">
        <f ca="1">huishoudens!B12</f>
        <v>3152.2368648482734</v>
      </c>
      <c r="D41" s="973">
        <f ca="1">huishoudens!C12</f>
        <v>0</v>
      </c>
      <c r="E41" s="973">
        <f>huishoudens!D12</f>
        <v>3638.3837290174006</v>
      </c>
      <c r="F41" s="973">
        <f>huishoudens!E12</f>
        <v>323.52801186011692</v>
      </c>
      <c r="G41" s="973">
        <f>huishoudens!F12</f>
        <v>9641.1107630733113</v>
      </c>
      <c r="H41" s="973">
        <f>huishoudens!G12</f>
        <v>0</v>
      </c>
      <c r="I41" s="973">
        <f>huishoudens!H12</f>
        <v>0</v>
      </c>
      <c r="J41" s="973">
        <f>huishoudens!I12</f>
        <v>0</v>
      </c>
      <c r="K41" s="973">
        <f>huishoudens!J12</f>
        <v>61.508419265208694</v>
      </c>
      <c r="L41" s="973">
        <f>huishoudens!K12</f>
        <v>0</v>
      </c>
      <c r="M41" s="973">
        <f>huishoudens!L12</f>
        <v>0</v>
      </c>
      <c r="N41" s="973">
        <f>huishoudens!M12</f>
        <v>0</v>
      </c>
      <c r="O41" s="973">
        <f>huishoudens!N12</f>
        <v>0</v>
      </c>
      <c r="P41" s="973">
        <f>huishoudens!O12</f>
        <v>0</v>
      </c>
      <c r="Q41" s="742">
        <f>huishoudens!P12</f>
        <v>0</v>
      </c>
      <c r="R41" s="818">
        <f t="shared" ca="1" si="4"/>
        <v>16816.767788064313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405.07888976325876</v>
      </c>
      <c r="D43" s="973">
        <f ca="1">industrie!C22</f>
        <v>0</v>
      </c>
      <c r="E43" s="973">
        <f>industrie!D22</f>
        <v>64.164049620000014</v>
      </c>
      <c r="F43" s="973">
        <f>industrie!E22</f>
        <v>52.355148741623687</v>
      </c>
      <c r="G43" s="973">
        <f>industrie!F22</f>
        <v>189.50477036888014</v>
      </c>
      <c r="H43" s="973">
        <f>industrie!G22</f>
        <v>0</v>
      </c>
      <c r="I43" s="973">
        <f>industrie!H22</f>
        <v>0</v>
      </c>
      <c r="J43" s="973">
        <f>industrie!I22</f>
        <v>0</v>
      </c>
      <c r="K43" s="973">
        <f>industrie!J22</f>
        <v>0.40420829966452709</v>
      </c>
      <c r="L43" s="973">
        <f>industrie!K22</f>
        <v>0</v>
      </c>
      <c r="M43" s="973">
        <f>industrie!L22</f>
        <v>0</v>
      </c>
      <c r="N43" s="973">
        <f>industrie!M22</f>
        <v>0</v>
      </c>
      <c r="O43" s="973">
        <f>industrie!N22</f>
        <v>0</v>
      </c>
      <c r="P43" s="973">
        <f>industrie!O22</f>
        <v>0</v>
      </c>
      <c r="Q43" s="742">
        <f>industrie!P22</f>
        <v>0</v>
      </c>
      <c r="R43" s="817">
        <f t="shared" ca="1" si="4"/>
        <v>711.50706679342716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4987.3296906106189</v>
      </c>
      <c r="D46" s="700">
        <f t="shared" ref="D46:Q46" ca="1" si="5">SUM(D39:D45)</f>
        <v>0</v>
      </c>
      <c r="E46" s="700">
        <f t="shared" ca="1" si="5"/>
        <v>4770.4010195226001</v>
      </c>
      <c r="F46" s="700">
        <f t="shared" si="5"/>
        <v>397.99312380281287</v>
      </c>
      <c r="G46" s="700">
        <f t="shared" ca="1" si="5"/>
        <v>10131.729142799002</v>
      </c>
      <c r="H46" s="700">
        <f t="shared" si="5"/>
        <v>0</v>
      </c>
      <c r="I46" s="700">
        <f t="shared" si="5"/>
        <v>0</v>
      </c>
      <c r="J46" s="700">
        <f t="shared" si="5"/>
        <v>0</v>
      </c>
      <c r="K46" s="700">
        <f t="shared" si="5"/>
        <v>61.916271241396636</v>
      </c>
      <c r="L46" s="700">
        <f t="shared" si="5"/>
        <v>0</v>
      </c>
      <c r="M46" s="700">
        <f t="shared" ca="1" si="5"/>
        <v>0</v>
      </c>
      <c r="N46" s="700">
        <f t="shared" si="5"/>
        <v>0</v>
      </c>
      <c r="O46" s="700">
        <f t="shared" ca="1" si="5"/>
        <v>0</v>
      </c>
      <c r="P46" s="700">
        <f t="shared" si="5"/>
        <v>0</v>
      </c>
      <c r="Q46" s="700">
        <f t="shared" si="5"/>
        <v>0</v>
      </c>
      <c r="R46" s="700">
        <f ca="1">SUM(R39:R45)</f>
        <v>20349.369247976432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4.7378655400706613</v>
      </c>
      <c r="D49" s="973">
        <f ca="1">transport!C58</f>
        <v>0</v>
      </c>
      <c r="E49" s="973">
        <f>transport!D58</f>
        <v>0</v>
      </c>
      <c r="F49" s="973">
        <f>transport!E58</f>
        <v>0</v>
      </c>
      <c r="G49" s="973">
        <f>transport!F58</f>
        <v>0</v>
      </c>
      <c r="H49" s="973">
        <f>transport!G58</f>
        <v>602.00033853371303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606.73820407378366</v>
      </c>
    </row>
    <row r="50" spans="1:18">
      <c r="A50" s="793" t="s">
        <v>301</v>
      </c>
      <c r="B50" s="803"/>
      <c r="C50" s="671">
        <f ca="1">transport!B18</f>
        <v>7.7691585940778625</v>
      </c>
      <c r="D50" s="671">
        <f>transport!C18</f>
        <v>0</v>
      </c>
      <c r="E50" s="671">
        <f>transport!D18</f>
        <v>14.042247604456502</v>
      </c>
      <c r="F50" s="671">
        <f>transport!E18</f>
        <v>27.429874392343624</v>
      </c>
      <c r="G50" s="671">
        <f>transport!F18</f>
        <v>0</v>
      </c>
      <c r="H50" s="671">
        <f>transport!G18</f>
        <v>14625.114057420191</v>
      </c>
      <c r="I50" s="671">
        <f>transport!H18</f>
        <v>2780.2857188065368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17454.641056817607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12.507024134148523</v>
      </c>
      <c r="D52" s="700">
        <f t="shared" ref="D52:Q52" ca="1" si="6">SUM(D48:D51)</f>
        <v>0</v>
      </c>
      <c r="E52" s="700">
        <f t="shared" si="6"/>
        <v>14.042247604456502</v>
      </c>
      <c r="F52" s="700">
        <f t="shared" si="6"/>
        <v>27.429874392343624</v>
      </c>
      <c r="G52" s="700">
        <f t="shared" si="6"/>
        <v>0</v>
      </c>
      <c r="H52" s="700">
        <f t="shared" si="6"/>
        <v>15227.114395953904</v>
      </c>
      <c r="I52" s="700">
        <f t="shared" si="6"/>
        <v>2780.2857188065368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18061.37926089139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214.51665676448721</v>
      </c>
      <c r="D54" s="671">
        <f ca="1">+landbouw!C12</f>
        <v>0</v>
      </c>
      <c r="E54" s="671">
        <f>+landbouw!D12</f>
        <v>7.8185558440000005</v>
      </c>
      <c r="F54" s="671">
        <f>+landbouw!E12</f>
        <v>7.2507584792196837</v>
      </c>
      <c r="G54" s="671">
        <f>+landbouw!F12</f>
        <v>1208.7535370369658</v>
      </c>
      <c r="H54" s="671">
        <f>+landbouw!G12</f>
        <v>0</v>
      </c>
      <c r="I54" s="671">
        <f>+landbouw!H12</f>
        <v>0</v>
      </c>
      <c r="J54" s="671">
        <f>+landbouw!I12</f>
        <v>0</v>
      </c>
      <c r="K54" s="671">
        <f>+landbouw!J12</f>
        <v>55.733990765010347</v>
      </c>
      <c r="L54" s="671">
        <f>+landbouw!K12</f>
        <v>0</v>
      </c>
      <c r="M54" s="671">
        <f>+landbouw!L12</f>
        <v>0</v>
      </c>
      <c r="N54" s="671">
        <f>+landbouw!M12</f>
        <v>0</v>
      </c>
      <c r="O54" s="671">
        <f>+landbouw!N12</f>
        <v>0</v>
      </c>
      <c r="P54" s="671">
        <f>+landbouw!O12</f>
        <v>0</v>
      </c>
      <c r="Q54" s="672">
        <f>+landbouw!P12</f>
        <v>0</v>
      </c>
      <c r="R54" s="699">
        <f ca="1">SUM(C54:Q54)</f>
        <v>1494.0734988896829</v>
      </c>
    </row>
    <row r="55" spans="1:18" ht="15" thickBot="1">
      <c r="A55" s="793" t="s">
        <v>808</v>
      </c>
      <c r="B55" s="803"/>
      <c r="C55" s="671">
        <f ca="1">C25*'EF ele_warmte'!B12</f>
        <v>55.659645040756835</v>
      </c>
      <c r="D55" s="671"/>
      <c r="E55" s="671">
        <f>E25*EF_CO2_aardgas</f>
        <v>266.79265140000001</v>
      </c>
      <c r="F55" s="671"/>
      <c r="G55" s="671"/>
      <c r="H55" s="671"/>
      <c r="I55" s="671"/>
      <c r="J55" s="671"/>
      <c r="K55" s="671"/>
      <c r="L55" s="671"/>
      <c r="M55" s="671"/>
      <c r="N55" s="671"/>
      <c r="O55" s="671"/>
      <c r="P55" s="671"/>
      <c r="Q55" s="672"/>
      <c r="R55" s="699">
        <f ca="1">SUM(C55:Q55)</f>
        <v>322.45229644075687</v>
      </c>
    </row>
    <row r="56" spans="1:18" ht="15.75" thickBot="1">
      <c r="A56" s="791" t="s">
        <v>809</v>
      </c>
      <c r="B56" s="804"/>
      <c r="C56" s="700">
        <f ca="1">SUM(C54:C55)</f>
        <v>270.17630180524407</v>
      </c>
      <c r="D56" s="700">
        <f t="shared" ref="D56:Q56" ca="1" si="7">SUM(D54:D55)</f>
        <v>0</v>
      </c>
      <c r="E56" s="700">
        <f t="shared" si="7"/>
        <v>274.61120724400001</v>
      </c>
      <c r="F56" s="700">
        <f t="shared" si="7"/>
        <v>7.2507584792196837</v>
      </c>
      <c r="G56" s="700">
        <f t="shared" si="7"/>
        <v>1208.7535370369658</v>
      </c>
      <c r="H56" s="700">
        <f t="shared" si="7"/>
        <v>0</v>
      </c>
      <c r="I56" s="700">
        <f t="shared" si="7"/>
        <v>0</v>
      </c>
      <c r="J56" s="700">
        <f t="shared" si="7"/>
        <v>0</v>
      </c>
      <c r="K56" s="700">
        <f t="shared" si="7"/>
        <v>55.733990765010347</v>
      </c>
      <c r="L56" s="700">
        <f t="shared" si="7"/>
        <v>0</v>
      </c>
      <c r="M56" s="700">
        <f t="shared" si="7"/>
        <v>0</v>
      </c>
      <c r="N56" s="700">
        <f t="shared" si="7"/>
        <v>0</v>
      </c>
      <c r="O56" s="700">
        <f t="shared" si="7"/>
        <v>0</v>
      </c>
      <c r="P56" s="700">
        <f t="shared" si="7"/>
        <v>0</v>
      </c>
      <c r="Q56" s="701">
        <f t="shared" si="7"/>
        <v>0</v>
      </c>
      <c r="R56" s="702">
        <f ca="1">SUM(R54:R55)</f>
        <v>1816.5257953304399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5270.0130165500113</v>
      </c>
      <c r="D61" s="708">
        <f t="shared" ref="D61:Q61" ca="1" si="8">D46+D52+D56</f>
        <v>0</v>
      </c>
      <c r="E61" s="708">
        <f t="shared" ca="1" si="8"/>
        <v>5059.054474371057</v>
      </c>
      <c r="F61" s="708">
        <f t="shared" si="8"/>
        <v>432.67375667437614</v>
      </c>
      <c r="G61" s="708">
        <f t="shared" ca="1" si="8"/>
        <v>11340.482679835968</v>
      </c>
      <c r="H61" s="708">
        <f t="shared" si="8"/>
        <v>15227.114395953904</v>
      </c>
      <c r="I61" s="708">
        <f t="shared" si="8"/>
        <v>2780.2857188065368</v>
      </c>
      <c r="J61" s="708">
        <f t="shared" si="8"/>
        <v>0</v>
      </c>
      <c r="K61" s="708">
        <f t="shared" si="8"/>
        <v>117.65026200640699</v>
      </c>
      <c r="L61" s="708">
        <f t="shared" si="8"/>
        <v>0</v>
      </c>
      <c r="M61" s="708">
        <f t="shared" ca="1" si="8"/>
        <v>0</v>
      </c>
      <c r="N61" s="708">
        <f t="shared" si="8"/>
        <v>0</v>
      </c>
      <c r="O61" s="708">
        <f t="shared" ca="1" si="8"/>
        <v>0</v>
      </c>
      <c r="P61" s="708">
        <f t="shared" si="8"/>
        <v>0</v>
      </c>
      <c r="Q61" s="708">
        <f t="shared" si="8"/>
        <v>0</v>
      </c>
      <c r="R61" s="708">
        <f ca="1">R46+R52+R56</f>
        <v>40227.274304198261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0.19740045786401428</v>
      </c>
      <c r="D63" s="749">
        <f t="shared" ca="1" si="9"/>
        <v>0</v>
      </c>
      <c r="E63" s="984">
        <f t="shared" ca="1" si="9"/>
        <v>0.20200000000000001</v>
      </c>
      <c r="F63" s="749">
        <f t="shared" si="9"/>
        <v>0.22699999999999995</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2807.2030757149473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2850.8530757149474</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15968.741404945447</v>
      </c>
      <c r="C4" s="445">
        <f>huishoudens!C8</f>
        <v>0</v>
      </c>
      <c r="D4" s="445">
        <f>huishoudens!D8</f>
        <v>18011.800638700002</v>
      </c>
      <c r="E4" s="445">
        <f>huishoudens!E8</f>
        <v>1425.2335324234225</v>
      </c>
      <c r="F4" s="445">
        <f>huishoudens!F8</f>
        <v>36109.029075180937</v>
      </c>
      <c r="G4" s="445">
        <f>huishoudens!G8</f>
        <v>0</v>
      </c>
      <c r="H4" s="445">
        <f>huishoudens!H8</f>
        <v>0</v>
      </c>
      <c r="I4" s="445">
        <f>huishoudens!I8</f>
        <v>0</v>
      </c>
      <c r="J4" s="445">
        <f>huishoudens!J8</f>
        <v>173.75259679437485</v>
      </c>
      <c r="K4" s="445">
        <f>huishoudens!K8</f>
        <v>0</v>
      </c>
      <c r="L4" s="445">
        <f>huishoudens!L8</f>
        <v>0</v>
      </c>
      <c r="M4" s="445">
        <f>huishoudens!M8</f>
        <v>0</v>
      </c>
      <c r="N4" s="445">
        <f>huishoudens!N8</f>
        <v>5832.001373482105</v>
      </c>
      <c r="O4" s="445">
        <f>huishoudens!O8</f>
        <v>186.03666666666666</v>
      </c>
      <c r="P4" s="446">
        <f>huishoudens!P8</f>
        <v>705.4666666666667</v>
      </c>
      <c r="Q4" s="447">
        <f>SUM(B4:P4)</f>
        <v>78412.06195485963</v>
      </c>
    </row>
    <row r="5" spans="1:17">
      <c r="A5" s="444" t="s">
        <v>155</v>
      </c>
      <c r="B5" s="445">
        <f ca="1">tertiair!B16</f>
        <v>6710.7930604242447</v>
      </c>
      <c r="C5" s="445">
        <f ca="1">tertiair!C16</f>
        <v>0</v>
      </c>
      <c r="D5" s="445">
        <f ca="1">tertiair!D16</f>
        <v>5286.4021825999998</v>
      </c>
      <c r="E5" s="445">
        <f>tertiair!E16</f>
        <v>97.400718947455033</v>
      </c>
      <c r="F5" s="445">
        <f ca="1">tertiair!F16</f>
        <v>1127.7663271790645</v>
      </c>
      <c r="G5" s="445">
        <f>tertiair!G16</f>
        <v>0</v>
      </c>
      <c r="H5" s="445">
        <f>tertiair!H16</f>
        <v>0</v>
      </c>
      <c r="I5" s="445">
        <f>tertiair!I16</f>
        <v>0</v>
      </c>
      <c r="J5" s="445">
        <f>tertiair!J16</f>
        <v>1.0292871535085162E-2</v>
      </c>
      <c r="K5" s="445">
        <f>tertiair!K16</f>
        <v>0</v>
      </c>
      <c r="L5" s="445">
        <f ca="1">tertiair!L16</f>
        <v>0</v>
      </c>
      <c r="M5" s="445">
        <f>tertiair!M16</f>
        <v>0</v>
      </c>
      <c r="N5" s="445">
        <f ca="1">tertiair!N16</f>
        <v>425.94193695178427</v>
      </c>
      <c r="O5" s="445">
        <f>tertiair!O16</f>
        <v>0</v>
      </c>
      <c r="P5" s="446">
        <f>tertiair!P16</f>
        <v>19.066666666666666</v>
      </c>
      <c r="Q5" s="444">
        <f t="shared" ref="Q5:Q14" ca="1" si="0">SUM(B5:P5)</f>
        <v>13667.38118564075</v>
      </c>
    </row>
    <row r="6" spans="1:17">
      <c r="A6" s="444" t="s">
        <v>193</v>
      </c>
      <c r="B6" s="445">
        <f>'openbare verlichting'!B8</f>
        <v>533.43499999999995</v>
      </c>
      <c r="C6" s="445"/>
      <c r="D6" s="445"/>
      <c r="E6" s="445"/>
      <c r="F6" s="445"/>
      <c r="G6" s="445"/>
      <c r="H6" s="445"/>
      <c r="I6" s="445"/>
      <c r="J6" s="445"/>
      <c r="K6" s="445"/>
      <c r="L6" s="445"/>
      <c r="M6" s="445"/>
      <c r="N6" s="445"/>
      <c r="O6" s="445"/>
      <c r="P6" s="446"/>
      <c r="Q6" s="444">
        <f t="shared" si="0"/>
        <v>533.43499999999995</v>
      </c>
    </row>
    <row r="7" spans="1:17">
      <c r="A7" s="444" t="s">
        <v>111</v>
      </c>
      <c r="B7" s="445">
        <f>landbouw!B8</f>
        <v>1086.7080000000001</v>
      </c>
      <c r="C7" s="445">
        <f>landbouw!C8</f>
        <v>62.357142857142847</v>
      </c>
      <c r="D7" s="445">
        <f>landbouw!D8</f>
        <v>38.705722000000002</v>
      </c>
      <c r="E7" s="445">
        <f>landbouw!E8</f>
        <v>31.941667309337813</v>
      </c>
      <c r="F7" s="445">
        <f>landbouw!F8</f>
        <v>4527.1668053818939</v>
      </c>
      <c r="G7" s="445">
        <f>landbouw!G8</f>
        <v>0</v>
      </c>
      <c r="H7" s="445">
        <f>landbouw!H8</f>
        <v>0</v>
      </c>
      <c r="I7" s="445">
        <f>landbouw!I8</f>
        <v>0</v>
      </c>
      <c r="J7" s="445">
        <f>landbouw!J8</f>
        <v>157.44065187856032</v>
      </c>
      <c r="K7" s="445">
        <f>landbouw!K8</f>
        <v>0</v>
      </c>
      <c r="L7" s="445">
        <f>landbouw!L8</f>
        <v>0</v>
      </c>
      <c r="M7" s="445">
        <f>landbouw!M8</f>
        <v>0</v>
      </c>
      <c r="N7" s="445">
        <f>landbouw!N8</f>
        <v>0</v>
      </c>
      <c r="O7" s="445">
        <f>landbouw!O8</f>
        <v>0</v>
      </c>
      <c r="P7" s="446">
        <f>landbouw!P8</f>
        <v>0</v>
      </c>
      <c r="Q7" s="444">
        <f t="shared" si="0"/>
        <v>5904.3199894269346</v>
      </c>
    </row>
    <row r="8" spans="1:17">
      <c r="A8" s="444" t="s">
        <v>627</v>
      </c>
      <c r="B8" s="445">
        <f>industrie!B18</f>
        <v>2052.066617</v>
      </c>
      <c r="C8" s="445">
        <f>industrie!C18</f>
        <v>0</v>
      </c>
      <c r="D8" s="445">
        <f>industrie!D18</f>
        <v>317.64381000000003</v>
      </c>
      <c r="E8" s="445">
        <f>industrie!E18</f>
        <v>230.63942176926733</v>
      </c>
      <c r="F8" s="445">
        <f>industrie!F18</f>
        <v>709.75569426546872</v>
      </c>
      <c r="G8" s="445">
        <f>industrie!G18</f>
        <v>0</v>
      </c>
      <c r="H8" s="445">
        <f>industrie!H18</f>
        <v>0</v>
      </c>
      <c r="I8" s="445">
        <f>industrie!I18</f>
        <v>0</v>
      </c>
      <c r="J8" s="445">
        <f>industrie!J18</f>
        <v>1.1418313549845398</v>
      </c>
      <c r="K8" s="445">
        <f>industrie!K18</f>
        <v>0</v>
      </c>
      <c r="L8" s="445">
        <f>industrie!L18</f>
        <v>0</v>
      </c>
      <c r="M8" s="445">
        <f>industrie!M18</f>
        <v>0</v>
      </c>
      <c r="N8" s="445">
        <f>industrie!N18</f>
        <v>137.31684018817737</v>
      </c>
      <c r="O8" s="445">
        <f>industrie!O18</f>
        <v>0</v>
      </c>
      <c r="P8" s="446">
        <f>industrie!P18</f>
        <v>0</v>
      </c>
      <c r="Q8" s="444">
        <f t="shared" si="0"/>
        <v>3448.5642145778975</v>
      </c>
    </row>
    <row r="9" spans="1:17" s="450" customFormat="1">
      <c r="A9" s="448" t="s">
        <v>553</v>
      </c>
      <c r="B9" s="449">
        <f>transport!B14</f>
        <v>39.357348397995615</v>
      </c>
      <c r="C9" s="449">
        <f>transport!C14</f>
        <v>0</v>
      </c>
      <c r="D9" s="449">
        <f>transport!D14</f>
        <v>69.516077249784658</v>
      </c>
      <c r="E9" s="449">
        <f>transport!E14</f>
        <v>120.83645106759306</v>
      </c>
      <c r="F9" s="449">
        <f>transport!F14</f>
        <v>0</v>
      </c>
      <c r="G9" s="449">
        <f>transport!G14</f>
        <v>54775.708080225428</v>
      </c>
      <c r="H9" s="449">
        <f>transport!H14</f>
        <v>11165.806099624646</v>
      </c>
      <c r="I9" s="449">
        <f>transport!I14</f>
        <v>0</v>
      </c>
      <c r="J9" s="449">
        <f>transport!J14</f>
        <v>0</v>
      </c>
      <c r="K9" s="449">
        <f>transport!K14</f>
        <v>0</v>
      </c>
      <c r="L9" s="449">
        <f>transport!L14</f>
        <v>0</v>
      </c>
      <c r="M9" s="449">
        <f>transport!M14</f>
        <v>3529.0183599067273</v>
      </c>
      <c r="N9" s="449">
        <f>transport!N14</f>
        <v>0</v>
      </c>
      <c r="O9" s="449">
        <f>transport!O14</f>
        <v>0</v>
      </c>
      <c r="P9" s="449">
        <f>transport!P14</f>
        <v>0</v>
      </c>
      <c r="Q9" s="448">
        <f>SUM(B9:P9)</f>
        <v>69700.242416472174</v>
      </c>
    </row>
    <row r="10" spans="1:17">
      <c r="A10" s="444" t="s">
        <v>543</v>
      </c>
      <c r="B10" s="445">
        <f>transport!B54</f>
        <v>24.001289517446281</v>
      </c>
      <c r="C10" s="445">
        <f>transport!C54</f>
        <v>0</v>
      </c>
      <c r="D10" s="445">
        <f>transport!D54</f>
        <v>0</v>
      </c>
      <c r="E10" s="445">
        <f>transport!E54</f>
        <v>0</v>
      </c>
      <c r="F10" s="445">
        <f>transport!F54</f>
        <v>0</v>
      </c>
      <c r="G10" s="445">
        <f>transport!G54</f>
        <v>2254.6829158566029</v>
      </c>
      <c r="H10" s="445">
        <f>transport!H54</f>
        <v>0</v>
      </c>
      <c r="I10" s="445">
        <f>transport!I54</f>
        <v>0</v>
      </c>
      <c r="J10" s="445">
        <f>transport!J54</f>
        <v>0</v>
      </c>
      <c r="K10" s="445">
        <f>transport!K54</f>
        <v>0</v>
      </c>
      <c r="L10" s="445">
        <f>transport!L54</f>
        <v>0</v>
      </c>
      <c r="M10" s="445">
        <f>transport!M54</f>
        <v>129.8404194025934</v>
      </c>
      <c r="N10" s="445">
        <f>transport!N54</f>
        <v>0</v>
      </c>
      <c r="O10" s="445">
        <f>transport!O54</f>
        <v>0</v>
      </c>
      <c r="P10" s="446">
        <f>transport!P54</f>
        <v>0</v>
      </c>
      <c r="Q10" s="444">
        <f t="shared" si="0"/>
        <v>2408.5246247766427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281.9631</v>
      </c>
      <c r="C14" s="452"/>
      <c r="D14" s="452">
        <f>'SEAP template'!E25</f>
        <v>1320.7556999999999</v>
      </c>
      <c r="E14" s="452"/>
      <c r="F14" s="452"/>
      <c r="G14" s="452"/>
      <c r="H14" s="452"/>
      <c r="I14" s="452"/>
      <c r="J14" s="452"/>
      <c r="K14" s="452"/>
      <c r="L14" s="452"/>
      <c r="M14" s="452"/>
      <c r="N14" s="452"/>
      <c r="O14" s="452"/>
      <c r="P14" s="453"/>
      <c r="Q14" s="444">
        <f t="shared" si="0"/>
        <v>1602.7187999999999</v>
      </c>
    </row>
    <row r="15" spans="1:17" s="454" customFormat="1">
      <c r="A15" s="999" t="s">
        <v>547</v>
      </c>
      <c r="B15" s="947">
        <f ca="1">SUM(B4:B14)</f>
        <v>26697.065820285137</v>
      </c>
      <c r="C15" s="947">
        <f t="shared" ref="C15:Q15" ca="1" si="1">SUM(C4:C14)</f>
        <v>62.357142857142847</v>
      </c>
      <c r="D15" s="947">
        <f t="shared" ca="1" si="1"/>
        <v>25044.824130549787</v>
      </c>
      <c r="E15" s="947">
        <f t="shared" si="1"/>
        <v>1906.0517915170758</v>
      </c>
      <c r="F15" s="947">
        <f t="shared" ca="1" si="1"/>
        <v>42473.717902007367</v>
      </c>
      <c r="G15" s="947">
        <f t="shared" si="1"/>
        <v>57030.390996082031</v>
      </c>
      <c r="H15" s="947">
        <f t="shared" si="1"/>
        <v>11165.806099624646</v>
      </c>
      <c r="I15" s="947">
        <f t="shared" si="1"/>
        <v>0</v>
      </c>
      <c r="J15" s="947">
        <f t="shared" si="1"/>
        <v>332.34537289945479</v>
      </c>
      <c r="K15" s="947">
        <f t="shared" si="1"/>
        <v>0</v>
      </c>
      <c r="L15" s="947">
        <f t="shared" ca="1" si="1"/>
        <v>0</v>
      </c>
      <c r="M15" s="947">
        <f t="shared" si="1"/>
        <v>3658.8587793093207</v>
      </c>
      <c r="N15" s="947">
        <f t="shared" ca="1" si="1"/>
        <v>6395.2601506220672</v>
      </c>
      <c r="O15" s="947">
        <f t="shared" si="1"/>
        <v>186.03666666666666</v>
      </c>
      <c r="P15" s="947">
        <f t="shared" si="1"/>
        <v>724.53333333333342</v>
      </c>
      <c r="Q15" s="947">
        <f t="shared" ca="1" si="1"/>
        <v>175677.24818575406</v>
      </c>
    </row>
    <row r="17" spans="1:17">
      <c r="A17" s="455" t="s">
        <v>548</v>
      </c>
      <c r="B17" s="754">
        <f ca="1">huishoudens!B10</f>
        <v>0.19740045786401425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3152.2368648482734</v>
      </c>
      <c r="C22" s="445">
        <f t="shared" ref="C22:C32" ca="1" si="3">C4*$C$17</f>
        <v>0</v>
      </c>
      <c r="D22" s="445">
        <f t="shared" ref="D22:D32" si="4">D4*$D$17</f>
        <v>3638.3837290174006</v>
      </c>
      <c r="E22" s="445">
        <f t="shared" ref="E22:E32" si="5">E4*$E$17</f>
        <v>323.52801186011692</v>
      </c>
      <c r="F22" s="445">
        <f t="shared" ref="F22:F32" si="6">F4*$F$17</f>
        <v>9641.1107630733113</v>
      </c>
      <c r="G22" s="445">
        <f t="shared" ref="G22:G32" si="7">G4*$G$17</f>
        <v>0</v>
      </c>
      <c r="H22" s="445">
        <f t="shared" ref="H22:H32" si="8">H4*$H$17</f>
        <v>0</v>
      </c>
      <c r="I22" s="445">
        <f t="shared" ref="I22:I32" si="9">I4*$I$17</f>
        <v>0</v>
      </c>
      <c r="J22" s="445">
        <f t="shared" ref="J22:J32" si="10">J4*$J$17</f>
        <v>61.508419265208694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16816.767788064313</v>
      </c>
    </row>
    <row r="23" spans="1:17">
      <c r="A23" s="444" t="s">
        <v>155</v>
      </c>
      <c r="B23" s="445">
        <f t="shared" ca="1" si="2"/>
        <v>1324.7136227583953</v>
      </c>
      <c r="C23" s="445">
        <f t="shared" ca="1" si="3"/>
        <v>0</v>
      </c>
      <c r="D23" s="445">
        <f t="shared" ca="1" si="4"/>
        <v>1067.8532408852</v>
      </c>
      <c r="E23" s="445">
        <f t="shared" si="5"/>
        <v>22.109963201072294</v>
      </c>
      <c r="F23" s="445">
        <f t="shared" ca="1" si="6"/>
        <v>301.11360935681023</v>
      </c>
      <c r="G23" s="445">
        <f t="shared" si="7"/>
        <v>0</v>
      </c>
      <c r="H23" s="445">
        <f t="shared" si="8"/>
        <v>0</v>
      </c>
      <c r="I23" s="445">
        <f t="shared" si="9"/>
        <v>0</v>
      </c>
      <c r="J23" s="445">
        <f t="shared" si="10"/>
        <v>3.6436765234201473E-3</v>
      </c>
      <c r="K23" s="445">
        <f t="shared" si="11"/>
        <v>0</v>
      </c>
      <c r="L23" s="445">
        <f t="shared" ca="1" si="12"/>
        <v>0</v>
      </c>
      <c r="M23" s="445">
        <f t="shared" si="13"/>
        <v>0</v>
      </c>
      <c r="N23" s="445">
        <f t="shared" ca="1" si="14"/>
        <v>0</v>
      </c>
      <c r="O23" s="445">
        <f t="shared" si="15"/>
        <v>0</v>
      </c>
      <c r="P23" s="446">
        <f t="shared" si="16"/>
        <v>0</v>
      </c>
      <c r="Q23" s="444">
        <f t="shared" ref="Q23:Q32" ca="1" si="17">SUM(B23:P23)</f>
        <v>2715.7940798780014</v>
      </c>
    </row>
    <row r="24" spans="1:17">
      <c r="A24" s="444" t="s">
        <v>193</v>
      </c>
      <c r="B24" s="445">
        <f t="shared" ca="1" si="2"/>
        <v>105.30031324069043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105.30031324069043</v>
      </c>
    </row>
    <row r="25" spans="1:17">
      <c r="A25" s="444" t="s">
        <v>111</v>
      </c>
      <c r="B25" s="445">
        <f t="shared" ca="1" si="2"/>
        <v>214.51665676448721</v>
      </c>
      <c r="C25" s="445">
        <f t="shared" ca="1" si="3"/>
        <v>0</v>
      </c>
      <c r="D25" s="445">
        <f t="shared" si="4"/>
        <v>7.8185558440000005</v>
      </c>
      <c r="E25" s="445">
        <f t="shared" si="5"/>
        <v>7.2507584792196837</v>
      </c>
      <c r="F25" s="445">
        <f t="shared" si="6"/>
        <v>1208.7535370369658</v>
      </c>
      <c r="G25" s="445">
        <f t="shared" si="7"/>
        <v>0</v>
      </c>
      <c r="H25" s="445">
        <f t="shared" si="8"/>
        <v>0</v>
      </c>
      <c r="I25" s="445">
        <f t="shared" si="9"/>
        <v>0</v>
      </c>
      <c r="J25" s="445">
        <f t="shared" si="10"/>
        <v>55.733990765010347</v>
      </c>
      <c r="K25" s="445">
        <f t="shared" si="11"/>
        <v>0</v>
      </c>
      <c r="L25" s="445">
        <f t="shared" si="12"/>
        <v>0</v>
      </c>
      <c r="M25" s="445">
        <f t="shared" si="13"/>
        <v>0</v>
      </c>
      <c r="N25" s="445">
        <f t="shared" si="14"/>
        <v>0</v>
      </c>
      <c r="O25" s="445">
        <f t="shared" si="15"/>
        <v>0</v>
      </c>
      <c r="P25" s="446">
        <f t="shared" si="16"/>
        <v>0</v>
      </c>
      <c r="Q25" s="444">
        <f t="shared" ca="1" si="17"/>
        <v>1494.0734988896829</v>
      </c>
    </row>
    <row r="26" spans="1:17">
      <c r="A26" s="444" t="s">
        <v>627</v>
      </c>
      <c r="B26" s="445">
        <f t="shared" ca="1" si="2"/>
        <v>405.07888976325876</v>
      </c>
      <c r="C26" s="445">
        <f t="shared" ca="1" si="3"/>
        <v>0</v>
      </c>
      <c r="D26" s="445">
        <f t="shared" si="4"/>
        <v>64.164049620000014</v>
      </c>
      <c r="E26" s="445">
        <f t="shared" si="5"/>
        <v>52.355148741623687</v>
      </c>
      <c r="F26" s="445">
        <f t="shared" si="6"/>
        <v>189.50477036888014</v>
      </c>
      <c r="G26" s="445">
        <f t="shared" si="7"/>
        <v>0</v>
      </c>
      <c r="H26" s="445">
        <f t="shared" si="8"/>
        <v>0</v>
      </c>
      <c r="I26" s="445">
        <f t="shared" si="9"/>
        <v>0</v>
      </c>
      <c r="J26" s="445">
        <f t="shared" si="10"/>
        <v>0.40420829966452709</v>
      </c>
      <c r="K26" s="445">
        <f t="shared" si="11"/>
        <v>0</v>
      </c>
      <c r="L26" s="445">
        <f t="shared" si="12"/>
        <v>0</v>
      </c>
      <c r="M26" s="445">
        <f t="shared" si="13"/>
        <v>0</v>
      </c>
      <c r="N26" s="445">
        <f t="shared" si="14"/>
        <v>0</v>
      </c>
      <c r="O26" s="445">
        <f t="shared" si="15"/>
        <v>0</v>
      </c>
      <c r="P26" s="446">
        <f t="shared" si="16"/>
        <v>0</v>
      </c>
      <c r="Q26" s="444">
        <f t="shared" ca="1" si="17"/>
        <v>711.50706679342716</v>
      </c>
    </row>
    <row r="27" spans="1:17" s="450" customFormat="1">
      <c r="A27" s="448" t="s">
        <v>553</v>
      </c>
      <c r="B27" s="748">
        <f t="shared" ca="1" si="2"/>
        <v>7.7691585940778625</v>
      </c>
      <c r="C27" s="449">
        <f t="shared" ca="1" si="3"/>
        <v>0</v>
      </c>
      <c r="D27" s="449">
        <f t="shared" si="4"/>
        <v>14.042247604456502</v>
      </c>
      <c r="E27" s="449">
        <f t="shared" si="5"/>
        <v>27.429874392343624</v>
      </c>
      <c r="F27" s="449">
        <f t="shared" si="6"/>
        <v>0</v>
      </c>
      <c r="G27" s="449">
        <f t="shared" si="7"/>
        <v>14625.114057420191</v>
      </c>
      <c r="H27" s="449">
        <f t="shared" si="8"/>
        <v>2780.2857188065368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17454.641056817607</v>
      </c>
    </row>
    <row r="28" spans="1:17">
      <c r="A28" s="444" t="s">
        <v>543</v>
      </c>
      <c r="B28" s="445">
        <f t="shared" ca="1" si="2"/>
        <v>4.7378655400706613</v>
      </c>
      <c r="C28" s="445">
        <f t="shared" ca="1" si="3"/>
        <v>0</v>
      </c>
      <c r="D28" s="445">
        <f t="shared" si="4"/>
        <v>0</v>
      </c>
      <c r="E28" s="445">
        <f t="shared" si="5"/>
        <v>0</v>
      </c>
      <c r="F28" s="445">
        <f t="shared" si="6"/>
        <v>0</v>
      </c>
      <c r="G28" s="445">
        <f t="shared" si="7"/>
        <v>602.00033853371303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606.73820407378366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55.659645040756835</v>
      </c>
      <c r="C32" s="445">
        <f t="shared" ca="1" si="3"/>
        <v>0</v>
      </c>
      <c r="D32" s="445">
        <f t="shared" si="4"/>
        <v>266.79265140000001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322.45229644075687</v>
      </c>
    </row>
    <row r="33" spans="1:17" s="454" customFormat="1">
      <c r="A33" s="999" t="s">
        <v>547</v>
      </c>
      <c r="B33" s="947">
        <f ca="1">SUM(B22:B32)</f>
        <v>5270.0130165500104</v>
      </c>
      <c r="C33" s="947">
        <f t="shared" ref="C33:Q33" ca="1" si="18">SUM(C22:C32)</f>
        <v>0</v>
      </c>
      <c r="D33" s="947">
        <f t="shared" ca="1" si="18"/>
        <v>5059.054474371057</v>
      </c>
      <c r="E33" s="947">
        <f t="shared" si="18"/>
        <v>432.67375667437619</v>
      </c>
      <c r="F33" s="947">
        <f t="shared" ca="1" si="18"/>
        <v>11340.482679835968</v>
      </c>
      <c r="G33" s="947">
        <f t="shared" si="18"/>
        <v>15227.114395953904</v>
      </c>
      <c r="H33" s="947">
        <f t="shared" si="18"/>
        <v>2780.2857188065368</v>
      </c>
      <c r="I33" s="947">
        <f t="shared" si="18"/>
        <v>0</v>
      </c>
      <c r="J33" s="947">
        <f t="shared" si="18"/>
        <v>117.65026200640699</v>
      </c>
      <c r="K33" s="947">
        <f t="shared" si="18"/>
        <v>0</v>
      </c>
      <c r="L33" s="947">
        <f t="shared" ca="1" si="18"/>
        <v>0</v>
      </c>
      <c r="M33" s="947">
        <f t="shared" si="18"/>
        <v>0</v>
      </c>
      <c r="N33" s="947">
        <f t="shared" ca="1" si="18"/>
        <v>0</v>
      </c>
      <c r="O33" s="947">
        <f t="shared" si="18"/>
        <v>0</v>
      </c>
      <c r="P33" s="947">
        <f t="shared" si="18"/>
        <v>0</v>
      </c>
      <c r="Q33" s="947">
        <f t="shared" ca="1" si="18"/>
        <v>40227.274304198269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2807.2030757149473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2850.8530757149474</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0.19740045786401425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0.19740045786401425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0.19740045786401425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0.19740045786401425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3651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2691.12</v>
      </c>
      <c r="C14" s="324"/>
      <c r="D14" s="324"/>
      <c r="E14" s="324"/>
      <c r="F14" s="324"/>
    </row>
    <row r="15" spans="1:6">
      <c r="A15" s="1291" t="s">
        <v>183</v>
      </c>
      <c r="B15" s="1292">
        <v>48</v>
      </c>
      <c r="C15" s="324"/>
      <c r="D15" s="324"/>
      <c r="E15" s="324"/>
      <c r="F15" s="324"/>
    </row>
    <row r="16" spans="1:6">
      <c r="A16" s="1291" t="s">
        <v>6</v>
      </c>
      <c r="B16" s="1292">
        <v>1620</v>
      </c>
      <c r="C16" s="324"/>
      <c r="D16" s="324"/>
      <c r="E16" s="324"/>
      <c r="F16" s="324"/>
    </row>
    <row r="17" spans="1:6">
      <c r="A17" s="1291" t="s">
        <v>7</v>
      </c>
      <c r="B17" s="1292">
        <v>624</v>
      </c>
      <c r="C17" s="324"/>
      <c r="D17" s="324"/>
      <c r="E17" s="324"/>
      <c r="F17" s="324"/>
    </row>
    <row r="18" spans="1:6">
      <c r="A18" s="1291" t="s">
        <v>8</v>
      </c>
      <c r="B18" s="1292">
        <v>1216</v>
      </c>
      <c r="C18" s="324"/>
      <c r="D18" s="324"/>
      <c r="E18" s="324"/>
      <c r="F18" s="324"/>
    </row>
    <row r="19" spans="1:6">
      <c r="A19" s="1291" t="s">
        <v>9</v>
      </c>
      <c r="B19" s="1292">
        <v>1022</v>
      </c>
      <c r="C19" s="324"/>
      <c r="D19" s="324"/>
      <c r="E19" s="324"/>
      <c r="F19" s="324"/>
    </row>
    <row r="20" spans="1:6">
      <c r="A20" s="1291" t="s">
        <v>10</v>
      </c>
      <c r="B20" s="1292">
        <v>879</v>
      </c>
      <c r="C20" s="324"/>
      <c r="D20" s="324"/>
      <c r="E20" s="324"/>
      <c r="F20" s="324"/>
    </row>
    <row r="21" spans="1:6">
      <c r="A21" s="1291" t="s">
        <v>11</v>
      </c>
      <c r="B21" s="1292">
        <v>84</v>
      </c>
      <c r="C21" s="324"/>
      <c r="D21" s="324"/>
      <c r="E21" s="324"/>
      <c r="F21" s="324"/>
    </row>
    <row r="22" spans="1:6">
      <c r="A22" s="1291" t="s">
        <v>12</v>
      </c>
      <c r="B22" s="1292">
        <v>429</v>
      </c>
      <c r="C22" s="324"/>
      <c r="D22" s="324"/>
      <c r="E22" s="324"/>
      <c r="F22" s="324"/>
    </row>
    <row r="23" spans="1:6">
      <c r="A23" s="1291" t="s">
        <v>13</v>
      </c>
      <c r="B23" s="1292">
        <v>4</v>
      </c>
      <c r="C23" s="324"/>
      <c r="D23" s="324"/>
      <c r="E23" s="324"/>
      <c r="F23" s="324"/>
    </row>
    <row r="24" spans="1:6">
      <c r="A24" s="1291" t="s">
        <v>14</v>
      </c>
      <c r="B24" s="1292">
        <v>1</v>
      </c>
      <c r="C24" s="324"/>
      <c r="D24" s="324"/>
      <c r="E24" s="324"/>
      <c r="F24" s="324"/>
    </row>
    <row r="25" spans="1:6">
      <c r="A25" s="1291" t="s">
        <v>15</v>
      </c>
      <c r="B25" s="1292">
        <v>36</v>
      </c>
      <c r="C25" s="324"/>
      <c r="D25" s="324"/>
      <c r="E25" s="324"/>
      <c r="F25" s="324"/>
    </row>
    <row r="26" spans="1:6">
      <c r="A26" s="1291" t="s">
        <v>16</v>
      </c>
      <c r="B26" s="1292">
        <v>171</v>
      </c>
      <c r="C26" s="324"/>
      <c r="D26" s="324"/>
      <c r="E26" s="324"/>
      <c r="F26" s="324"/>
    </row>
    <row r="27" spans="1:6">
      <c r="A27" s="1291" t="s">
        <v>17</v>
      </c>
      <c r="B27" s="1292">
        <v>76</v>
      </c>
      <c r="C27" s="324"/>
      <c r="D27" s="324"/>
      <c r="E27" s="324"/>
      <c r="F27" s="324"/>
    </row>
    <row r="28" spans="1:6" s="43" customFormat="1">
      <c r="A28" s="1293" t="s">
        <v>18</v>
      </c>
      <c r="B28" s="1294">
        <v>1048</v>
      </c>
      <c r="C28" s="330"/>
      <c r="D28" s="330"/>
      <c r="E28" s="330"/>
      <c r="F28" s="330"/>
    </row>
    <row r="29" spans="1:6">
      <c r="A29" s="1293" t="s">
        <v>722</v>
      </c>
      <c r="B29" s="1294">
        <v>183</v>
      </c>
      <c r="C29" s="330"/>
      <c r="D29" s="330"/>
      <c r="E29" s="330"/>
      <c r="F29" s="330"/>
    </row>
    <row r="30" spans="1:6">
      <c r="A30" s="1286" t="s">
        <v>723</v>
      </c>
      <c r="B30" s="1295">
        <v>32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152</v>
      </c>
    </row>
    <row r="39" spans="1:6">
      <c r="A39" s="1291" t="s">
        <v>29</v>
      </c>
      <c r="B39" s="1291" t="s">
        <v>30</v>
      </c>
      <c r="C39" s="1292">
        <v>1225</v>
      </c>
      <c r="D39" s="1292">
        <v>19968736.850000001</v>
      </c>
      <c r="E39" s="1292">
        <v>3442</v>
      </c>
      <c r="F39" s="1292">
        <v>13830000.472086919</v>
      </c>
    </row>
    <row r="40" spans="1:6">
      <c r="A40" s="1291" t="s">
        <v>29</v>
      </c>
      <c r="B40" s="1291" t="s">
        <v>28</v>
      </c>
      <c r="C40" s="1292">
        <v>0</v>
      </c>
      <c r="D40" s="1292">
        <v>0</v>
      </c>
      <c r="E40" s="1292">
        <v>0</v>
      </c>
      <c r="F40" s="1292">
        <v>0</v>
      </c>
    </row>
    <row r="41" spans="1:6">
      <c r="A41" s="1291" t="s">
        <v>31</v>
      </c>
      <c r="B41" s="1291" t="s">
        <v>32</v>
      </c>
      <c r="C41" s="1292">
        <v>11</v>
      </c>
      <c r="D41" s="1292">
        <v>250427</v>
      </c>
      <c r="E41" s="1292">
        <v>86</v>
      </c>
      <c r="F41" s="1292">
        <v>716338.35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208757.66699999999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101728</v>
      </c>
      <c r="E48" s="1292">
        <v>4</v>
      </c>
      <c r="F48" s="1292">
        <v>318949</v>
      </c>
    </row>
    <row r="49" spans="1:6">
      <c r="A49" s="1291" t="s">
        <v>31</v>
      </c>
      <c r="B49" s="1291" t="s">
        <v>39</v>
      </c>
      <c r="C49" s="1292">
        <v>0</v>
      </c>
      <c r="D49" s="1292">
        <v>0</v>
      </c>
      <c r="E49" s="1292">
        <v>0</v>
      </c>
      <c r="F49" s="1292">
        <v>0</v>
      </c>
    </row>
    <row r="50" spans="1:6">
      <c r="A50" s="1291" t="s">
        <v>31</v>
      </c>
      <c r="B50" s="1291" t="s">
        <v>40</v>
      </c>
      <c r="C50" s="1292">
        <v>0</v>
      </c>
      <c r="D50" s="1292">
        <v>0</v>
      </c>
      <c r="E50" s="1292">
        <v>21</v>
      </c>
      <c r="F50" s="1292">
        <v>808021.6</v>
      </c>
    </row>
    <row r="51" spans="1:6">
      <c r="A51" s="1291" t="s">
        <v>41</v>
      </c>
      <c r="B51" s="1291" t="s">
        <v>42</v>
      </c>
      <c r="C51" s="1292">
        <v>4</v>
      </c>
      <c r="D51" s="1292">
        <v>42911</v>
      </c>
      <c r="E51" s="1292">
        <v>98</v>
      </c>
      <c r="F51" s="1292">
        <v>1086708</v>
      </c>
    </row>
    <row r="52" spans="1:6">
      <c r="A52" s="1291" t="s">
        <v>41</v>
      </c>
      <c r="B52" s="1291" t="s">
        <v>28</v>
      </c>
      <c r="C52" s="1292">
        <v>0</v>
      </c>
      <c r="D52" s="1292">
        <v>0</v>
      </c>
      <c r="E52" s="1292">
        <v>0</v>
      </c>
      <c r="F52" s="1292">
        <v>0</v>
      </c>
    </row>
    <row r="53" spans="1:6">
      <c r="A53" s="1291" t="s">
        <v>43</v>
      </c>
      <c r="B53" s="1291" t="s">
        <v>44</v>
      </c>
      <c r="C53" s="1292">
        <v>36</v>
      </c>
      <c r="D53" s="1292">
        <v>1320755.7</v>
      </c>
      <c r="E53" s="1292">
        <v>62</v>
      </c>
      <c r="F53" s="1292">
        <v>281963.09999999998</v>
      </c>
    </row>
    <row r="54" spans="1:6">
      <c r="A54" s="1291" t="s">
        <v>45</v>
      </c>
      <c r="B54" s="1291" t="s">
        <v>46</v>
      </c>
      <c r="C54" s="1292">
        <v>0</v>
      </c>
      <c r="D54" s="1292">
        <v>0</v>
      </c>
      <c r="E54" s="1292">
        <v>1</v>
      </c>
      <c r="F54" s="1292">
        <v>533435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v>
      </c>
      <c r="D57" s="1292">
        <v>388347</v>
      </c>
      <c r="E57" s="1292">
        <v>48</v>
      </c>
      <c r="F57" s="1292">
        <v>468457.13400000002</v>
      </c>
    </row>
    <row r="58" spans="1:6">
      <c r="A58" s="1291" t="s">
        <v>48</v>
      </c>
      <c r="B58" s="1291" t="s">
        <v>50</v>
      </c>
      <c r="C58" s="1292">
        <v>18</v>
      </c>
      <c r="D58" s="1292">
        <v>1999746</v>
      </c>
      <c r="E58" s="1292">
        <v>36</v>
      </c>
      <c r="F58" s="1292">
        <v>1169519</v>
      </c>
    </row>
    <row r="59" spans="1:6">
      <c r="A59" s="1291" t="s">
        <v>48</v>
      </c>
      <c r="B59" s="1291" t="s">
        <v>51</v>
      </c>
      <c r="C59" s="1292">
        <v>31</v>
      </c>
      <c r="D59" s="1292">
        <v>1051591</v>
      </c>
      <c r="E59" s="1292">
        <v>90</v>
      </c>
      <c r="F59" s="1292">
        <v>2201593.3760000002</v>
      </c>
    </row>
    <row r="60" spans="1:6">
      <c r="A60" s="1291" t="s">
        <v>48</v>
      </c>
      <c r="B60" s="1291" t="s">
        <v>52</v>
      </c>
      <c r="C60" s="1292">
        <v>25</v>
      </c>
      <c r="D60" s="1292">
        <v>1082914.7</v>
      </c>
      <c r="E60" s="1292">
        <v>44</v>
      </c>
      <c r="F60" s="1292">
        <v>1101443.7960000001</v>
      </c>
    </row>
    <row r="61" spans="1:6">
      <c r="A61" s="1291" t="s">
        <v>48</v>
      </c>
      <c r="B61" s="1291" t="s">
        <v>53</v>
      </c>
      <c r="C61" s="1292">
        <v>30</v>
      </c>
      <c r="D61" s="1292">
        <v>1238481.6000000001</v>
      </c>
      <c r="E61" s="1292">
        <v>168</v>
      </c>
      <c r="F61" s="1292">
        <v>1685487.45</v>
      </c>
    </row>
    <row r="62" spans="1:6">
      <c r="A62" s="1291" t="s">
        <v>48</v>
      </c>
      <c r="B62" s="1291" t="s">
        <v>54</v>
      </c>
      <c r="C62" s="1292">
        <v>4</v>
      </c>
      <c r="D62" s="1292">
        <v>99676</v>
      </c>
      <c r="E62" s="1292">
        <v>7</v>
      </c>
      <c r="F62" s="1292">
        <v>32877</v>
      </c>
    </row>
    <row r="63" spans="1:6">
      <c r="A63" s="1291" t="s">
        <v>48</v>
      </c>
      <c r="B63" s="1291" t="s">
        <v>28</v>
      </c>
      <c r="C63" s="1292">
        <v>0</v>
      </c>
      <c r="D63" s="1292">
        <v>0</v>
      </c>
      <c r="E63" s="1292">
        <v>3</v>
      </c>
      <c r="F63" s="1292">
        <v>51415.3044242428</v>
      </c>
    </row>
    <row r="64" spans="1:6">
      <c r="A64" s="1291" t="s">
        <v>55</v>
      </c>
      <c r="B64" s="1291" t="s">
        <v>56</v>
      </c>
      <c r="C64" s="1292">
        <v>0</v>
      </c>
      <c r="D64" s="1292">
        <v>0</v>
      </c>
      <c r="E64" s="1292">
        <v>0</v>
      </c>
      <c r="F64" s="1292">
        <v>0</v>
      </c>
    </row>
    <row r="65" spans="1:6">
      <c r="A65" s="1291" t="s">
        <v>55</v>
      </c>
      <c r="B65" s="1291" t="s">
        <v>28</v>
      </c>
      <c r="C65" s="1292">
        <v>1</v>
      </c>
      <c r="D65" s="1292">
        <v>11752</v>
      </c>
      <c r="E65" s="1292">
        <v>0</v>
      </c>
      <c r="F65" s="1292">
        <v>0</v>
      </c>
    </row>
    <row r="66" spans="1:6">
      <c r="A66" s="1291" t="s">
        <v>55</v>
      </c>
      <c r="B66" s="1291" t="s">
        <v>57</v>
      </c>
      <c r="C66" s="1292">
        <v>0</v>
      </c>
      <c r="D66" s="1292">
        <v>0</v>
      </c>
      <c r="E66" s="1292">
        <v>5</v>
      </c>
      <c r="F66" s="1292">
        <v>19859</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168189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60691083</v>
      </c>
      <c r="E73" s="443"/>
      <c r="F73" s="324"/>
    </row>
    <row r="74" spans="1:6">
      <c r="A74" s="1291" t="s">
        <v>63</v>
      </c>
      <c r="B74" s="1291" t="s">
        <v>648</v>
      </c>
      <c r="C74" s="1305" t="s">
        <v>650</v>
      </c>
      <c r="D74" s="1306">
        <v>6930487</v>
      </c>
      <c r="E74" s="443"/>
      <c r="F74" s="324"/>
    </row>
    <row r="75" spans="1:6">
      <c r="A75" s="1291" t="s">
        <v>64</v>
      </c>
      <c r="B75" s="1291" t="s">
        <v>647</v>
      </c>
      <c r="C75" s="1305" t="s">
        <v>651</v>
      </c>
      <c r="D75" s="1306">
        <v>14257087</v>
      </c>
      <c r="E75" s="443"/>
      <c r="F75" s="324"/>
    </row>
    <row r="76" spans="1:6">
      <c r="A76" s="1291" t="s">
        <v>64</v>
      </c>
      <c r="B76" s="1291" t="s">
        <v>648</v>
      </c>
      <c r="C76" s="1305" t="s">
        <v>652</v>
      </c>
      <c r="D76" s="1306">
        <v>457325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655086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2138.7409328585268</v>
      </c>
      <c r="C91" s="324"/>
      <c r="D91" s="324"/>
      <c r="E91" s="324"/>
      <c r="F91" s="324"/>
    </row>
    <row r="92" spans="1:6">
      <c r="A92" s="1286" t="s">
        <v>68</v>
      </c>
      <c r="B92" s="1287">
        <v>668.46214285642054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344</v>
      </c>
      <c r="C97" s="324"/>
      <c r="D97" s="324"/>
      <c r="E97" s="324"/>
      <c r="F97" s="324"/>
    </row>
    <row r="98" spans="1:6">
      <c r="A98" s="1291" t="s">
        <v>71</v>
      </c>
      <c r="B98" s="1292">
        <v>0</v>
      </c>
      <c r="C98" s="324"/>
      <c r="D98" s="324"/>
      <c r="E98" s="324"/>
      <c r="F98" s="324"/>
    </row>
    <row r="99" spans="1:6">
      <c r="A99" s="1291" t="s">
        <v>72</v>
      </c>
      <c r="B99" s="1292">
        <v>89</v>
      </c>
      <c r="C99" s="324"/>
      <c r="D99" s="324"/>
      <c r="E99" s="324"/>
      <c r="F99" s="324"/>
    </row>
    <row r="100" spans="1:6">
      <c r="A100" s="1291" t="s">
        <v>73</v>
      </c>
      <c r="B100" s="1292">
        <v>289</v>
      </c>
      <c r="C100" s="324"/>
      <c r="D100" s="324"/>
      <c r="E100" s="324"/>
      <c r="F100" s="324"/>
    </row>
    <row r="101" spans="1:6">
      <c r="A101" s="1291" t="s">
        <v>74</v>
      </c>
      <c r="B101" s="1292">
        <v>74</v>
      </c>
      <c r="C101" s="324"/>
      <c r="D101" s="324"/>
      <c r="E101" s="324"/>
      <c r="F101" s="324"/>
    </row>
    <row r="102" spans="1:6">
      <c r="A102" s="1291" t="s">
        <v>75</v>
      </c>
      <c r="B102" s="1292">
        <v>31</v>
      </c>
      <c r="C102" s="324"/>
      <c r="D102" s="324"/>
      <c r="E102" s="324"/>
      <c r="F102" s="324"/>
    </row>
    <row r="103" spans="1:6">
      <c r="A103" s="1291" t="s">
        <v>76</v>
      </c>
      <c r="B103" s="1292">
        <v>85</v>
      </c>
      <c r="C103" s="324"/>
      <c r="D103" s="324"/>
      <c r="E103" s="324"/>
      <c r="F103" s="324"/>
    </row>
    <row r="104" spans="1:6">
      <c r="A104" s="1291" t="s">
        <v>77</v>
      </c>
      <c r="B104" s="1292">
        <v>2326</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15</v>
      </c>
      <c r="C123" s="1292">
        <v>24</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94</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22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26697.065820285134</v>
      </c>
      <c r="C3" s="43" t="s">
        <v>169</v>
      </c>
      <c r="D3" s="43"/>
      <c r="E3" s="154"/>
      <c r="F3" s="43"/>
      <c r="G3" s="43"/>
      <c r="H3" s="43"/>
      <c r="I3" s="43"/>
      <c r="J3" s="43"/>
      <c r="K3" s="96"/>
    </row>
    <row r="4" spans="1:11">
      <c r="A4" s="352" t="s">
        <v>170</v>
      </c>
      <c r="B4" s="49">
        <f>IF(ISERROR('SEAP template'!B78+'SEAP template'!C78),0,'SEAP template'!B78+'SEAP template'!C78)</f>
        <v>2850.8530757149474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0.19740045786401425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533.43499999999995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533.43499999999995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0.19740045786401425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105.30031324069043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13830.00047208692</v>
      </c>
      <c r="C5" s="17">
        <f>IF(ISERROR('Eigen informatie GS &amp; warmtenet'!B57),0,'Eigen informatie GS &amp; warmtenet'!B57)</f>
        <v>0</v>
      </c>
      <c r="D5" s="30">
        <f>(SUM(HH_hh_gas_kWh,HH_rest_gas_kWh)/1000)*0.902</f>
        <v>18011.800638700002</v>
      </c>
      <c r="E5" s="17">
        <f>B32*B41</f>
        <v>1425.2335324234225</v>
      </c>
      <c r="F5" s="17">
        <f>B36*B45</f>
        <v>36109.029075180937</v>
      </c>
      <c r="G5" s="18"/>
      <c r="H5" s="17"/>
      <c r="I5" s="17"/>
      <c r="J5" s="17">
        <f>B35*B44+C35*C44</f>
        <v>173.75259679437485</v>
      </c>
      <c r="K5" s="17"/>
      <c r="L5" s="17"/>
      <c r="M5" s="17"/>
      <c r="N5" s="17">
        <f>B34*B43+C34*C43</f>
        <v>5832.001373482105</v>
      </c>
      <c r="O5" s="17">
        <f>B52*B53*B54</f>
        <v>186.03666666666666</v>
      </c>
      <c r="P5" s="17">
        <f>B60*B61*B62/1000-B60*B61*B62/1000/B63</f>
        <v>705.4666666666667</v>
      </c>
    </row>
    <row r="6" spans="1:16">
      <c r="A6" s="16" t="s">
        <v>613</v>
      </c>
      <c r="B6" s="756">
        <f>kWh_PV_kleiner_dan_10kW</f>
        <v>2138.7409328585268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15968.741404945447</v>
      </c>
      <c r="C8" s="21">
        <f>C5</f>
        <v>0</v>
      </c>
      <c r="D8" s="21">
        <f>D5</f>
        <v>18011.800638700002</v>
      </c>
      <c r="E8" s="21">
        <f>E5</f>
        <v>1425.2335324234225</v>
      </c>
      <c r="F8" s="21">
        <f>F5</f>
        <v>36109.029075180937</v>
      </c>
      <c r="G8" s="21"/>
      <c r="H8" s="21"/>
      <c r="I8" s="21"/>
      <c r="J8" s="21">
        <f>J5</f>
        <v>173.75259679437485</v>
      </c>
      <c r="K8" s="21"/>
      <c r="L8" s="21">
        <f>L5</f>
        <v>0</v>
      </c>
      <c r="M8" s="21">
        <f>M5</f>
        <v>0</v>
      </c>
      <c r="N8" s="21">
        <f>N5</f>
        <v>5832.001373482105</v>
      </c>
      <c r="O8" s="21">
        <f>O5</f>
        <v>186.03666666666666</v>
      </c>
      <c r="P8" s="21">
        <f>P5</f>
        <v>705.4666666666667</v>
      </c>
    </row>
    <row r="9" spans="1:16">
      <c r="B9" s="19"/>
      <c r="C9" s="19"/>
      <c r="D9" s="254"/>
      <c r="E9" s="19"/>
      <c r="F9" s="19"/>
      <c r="G9" s="19"/>
      <c r="H9" s="19"/>
      <c r="I9" s="19"/>
      <c r="J9" s="19"/>
      <c r="K9" s="19"/>
      <c r="L9" s="19"/>
      <c r="M9" s="19"/>
      <c r="N9" s="19"/>
      <c r="O9" s="19"/>
      <c r="P9" s="19"/>
    </row>
    <row r="10" spans="1:16">
      <c r="A10" s="24" t="s">
        <v>213</v>
      </c>
      <c r="B10" s="25">
        <f ca="1">'EF ele_warmte'!B12</f>
        <v>0.19740045786401425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3152.2368648482734</v>
      </c>
      <c r="C12" s="23">
        <f ca="1">C10*C8</f>
        <v>0</v>
      </c>
      <c r="D12" s="23">
        <f>D8*D10</f>
        <v>3638.3837290174006</v>
      </c>
      <c r="E12" s="23">
        <f>E10*E8</f>
        <v>323.52801186011692</v>
      </c>
      <c r="F12" s="23">
        <f>F10*F8</f>
        <v>9641.1107630733113</v>
      </c>
      <c r="G12" s="23"/>
      <c r="H12" s="23"/>
      <c r="I12" s="23"/>
      <c r="J12" s="23">
        <f>J10*J8</f>
        <v>61.508419265208694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3651</v>
      </c>
      <c r="C26" s="36"/>
      <c r="D26" s="225"/>
    </row>
    <row r="27" spans="1:5" s="15" customFormat="1">
      <c r="A27" s="227" t="s">
        <v>768</v>
      </c>
      <c r="B27" s="37">
        <f>SUM(HH_hh_gas_aantal,HH_rest_gas_aantal)</f>
        <v>1225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1163.75</v>
      </c>
      <c r="C31" s="34" t="s">
        <v>110</v>
      </c>
      <c r="D31" s="171"/>
    </row>
    <row r="32" spans="1:5">
      <c r="A32" s="168" t="s">
        <v>72</v>
      </c>
      <c r="B32" s="33">
        <f>IF((B21*($B$26-($B$27-0.05*$B$27)-$B$60))&lt;0,0,B21*($B$26-($B$27-0.05*$B$27)-$B$60))</f>
        <v>26.953961157076268</v>
      </c>
      <c r="C32" s="34" t="s">
        <v>110</v>
      </c>
      <c r="D32" s="171"/>
    </row>
    <row r="33" spans="1:6">
      <c r="A33" s="168" t="s">
        <v>73</v>
      </c>
      <c r="B33" s="33">
        <f>IF((B22*($B$26-($B$27-0.05*$B$27)-$B$60))&lt;0,0,B22*($B$26-($B$27-0.05*$B$27)-$B$60))</f>
        <v>560.39548756426154</v>
      </c>
      <c r="C33" s="34" t="s">
        <v>110</v>
      </c>
      <c r="D33" s="171"/>
    </row>
    <row r="34" spans="1:6">
      <c r="A34" s="168" t="s">
        <v>74</v>
      </c>
      <c r="B34" s="33">
        <f>IF((B24*($B$26-($B$27-0.05*$B$27)-$B$60))&lt;0,0,B24*($B$26-($B$27-0.05*$B$27)-$B$60))</f>
        <v>111.44274078304485</v>
      </c>
      <c r="C34" s="33">
        <f>B26*C24</f>
        <v>747.343460831941</v>
      </c>
      <c r="D34" s="230"/>
    </row>
    <row r="35" spans="1:6">
      <c r="A35" s="168" t="s">
        <v>76</v>
      </c>
      <c r="B35" s="33">
        <f>IF((B19*($B$26-($B$27-0.05*$B$27)-$B$60))&lt;0,0,B19*($B$26-($B$27-0.05*$B$27)-$B$60))</f>
        <v>20.40124213201425</v>
      </c>
      <c r="C35" s="33">
        <f>B35/2</f>
        <v>10.200621066007125</v>
      </c>
      <c r="D35" s="230"/>
    </row>
    <row r="36" spans="1:6">
      <c r="A36" s="168" t="s">
        <v>77</v>
      </c>
      <c r="B36" s="33">
        <f>IF((B18*($B$26-($B$27-0.05*$B$27)-$B$60))&lt;0,0,B18*($B$26-($B$27-0.05*$B$27)-$B$60))</f>
        <v>1731.0565683636032</v>
      </c>
      <c r="C36" s="34" t="s">
        <v>110</v>
      </c>
      <c r="D36" s="171"/>
    </row>
    <row r="37" spans="1:6">
      <c r="A37" s="168" t="s">
        <v>78</v>
      </c>
      <c r="B37" s="33">
        <f>B60</f>
        <v>37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6710.7930604242447</v>
      </c>
      <c r="C5" s="17">
        <f>IF(ISERROR('Eigen informatie GS &amp; warmtenet'!B58),0,'Eigen informatie GS &amp; warmtenet'!B58)</f>
        <v>0</v>
      </c>
      <c r="D5" s="30">
        <f>SUM(D6:D12)</f>
        <v>5286.4021825999998</v>
      </c>
      <c r="E5" s="17">
        <f>SUM(E6:E12)</f>
        <v>97.400718947455033</v>
      </c>
      <c r="F5" s="17">
        <f>SUM(F6:F12)</f>
        <v>1127.7663271790645</v>
      </c>
      <c r="G5" s="18"/>
      <c r="H5" s="17"/>
      <c r="I5" s="17"/>
      <c r="J5" s="17">
        <f>SUM(J6:J12)</f>
        <v>1.0292871535085162E-2</v>
      </c>
      <c r="K5" s="17"/>
      <c r="L5" s="17"/>
      <c r="M5" s="17"/>
      <c r="N5" s="17">
        <f>SUM(N6:N12)</f>
        <v>425.94193695178427</v>
      </c>
      <c r="O5" s="17">
        <f>B38*B39*B40</f>
        <v>0</v>
      </c>
      <c r="P5" s="17">
        <f>B46*B47*B48/1000-B46*B47*B48/1000/B49</f>
        <v>19.066666666666666</v>
      </c>
      <c r="R5" s="32"/>
    </row>
    <row r="6" spans="1:18">
      <c r="A6" s="32" t="s">
        <v>53</v>
      </c>
      <c r="B6" s="37">
        <f>B26</f>
        <v>1685.4874499999999</v>
      </c>
      <c r="C6" s="33"/>
      <c r="D6" s="37">
        <f>IF(ISERROR(TER_kantoor_gas_kWh/1000),0,TER_kantoor_gas_kWh/1000)*0.902</f>
        <v>1117.1104032000001</v>
      </c>
      <c r="E6" s="33">
        <f>$C$26*'E Balans VL '!I12/100/3.6*1000000</f>
        <v>1.0564074752256472E-2</v>
      </c>
      <c r="F6" s="33">
        <f>$C$26*('E Balans VL '!L12+'E Balans VL '!N12)/100/3.6*1000000</f>
        <v>253.28166672382778</v>
      </c>
      <c r="G6" s="34"/>
      <c r="H6" s="33"/>
      <c r="I6" s="33"/>
      <c r="J6" s="33">
        <f>$C$26*('E Balans VL '!D12+'E Balans VL '!E12)/100/3.6*1000000</f>
        <v>0</v>
      </c>
      <c r="K6" s="33"/>
      <c r="L6" s="33"/>
      <c r="M6" s="33"/>
      <c r="N6" s="33">
        <f>$C$26*'E Balans VL '!Y12/100/3.6*1000000</f>
        <v>1.611918844985367</v>
      </c>
      <c r="O6" s="33"/>
      <c r="P6" s="33"/>
      <c r="R6" s="32"/>
    </row>
    <row r="7" spans="1:18">
      <c r="A7" s="32" t="s">
        <v>52</v>
      </c>
      <c r="B7" s="37">
        <f t="shared" ref="B7:B12" si="0">B27</f>
        <v>1101.443796</v>
      </c>
      <c r="C7" s="33"/>
      <c r="D7" s="37">
        <f>IF(ISERROR(TER_horeca_gas_kWh/1000),0,TER_horeca_gas_kWh/1000)*0.902</f>
        <v>976.78905940000004</v>
      </c>
      <c r="E7" s="33">
        <f>$C$27*'E Balans VL '!I9/100/3.6*1000000</f>
        <v>15.772491693206804</v>
      </c>
      <c r="F7" s="33">
        <f>$C$27*('E Balans VL '!L9+'E Balans VL '!N9)/100/3.6*1000000</f>
        <v>139.47911158952178</v>
      </c>
      <c r="G7" s="34"/>
      <c r="H7" s="33"/>
      <c r="I7" s="33"/>
      <c r="J7" s="33">
        <f>$C$27*('E Balans VL '!D9+'E Balans VL '!E9)/100/3.6*1000000</f>
        <v>0</v>
      </c>
      <c r="K7" s="33"/>
      <c r="L7" s="33"/>
      <c r="M7" s="33"/>
      <c r="N7" s="33">
        <f>$C$27*'E Balans VL '!Y9/100/3.6*1000000</f>
        <v>0.31664080659889315</v>
      </c>
      <c r="O7" s="33"/>
      <c r="P7" s="33"/>
      <c r="R7" s="32"/>
    </row>
    <row r="8" spans="1:18">
      <c r="A8" s="6" t="s">
        <v>51</v>
      </c>
      <c r="B8" s="37">
        <f t="shared" si="0"/>
        <v>2201.5933760000003</v>
      </c>
      <c r="C8" s="33"/>
      <c r="D8" s="37">
        <f>IF(ISERROR(TER_handel_gas_kWh/1000),0,TER_handel_gas_kWh/1000)*0.902</f>
        <v>948.53508199999987</v>
      </c>
      <c r="E8" s="33">
        <f>$C$28*'E Balans VL '!I13/100/3.6*1000000</f>
        <v>79.851520259187964</v>
      </c>
      <c r="F8" s="33">
        <f>$C$28*('E Balans VL '!L13+'E Balans VL '!N13)/100/3.6*1000000</f>
        <v>424.04917676784811</v>
      </c>
      <c r="G8" s="34"/>
      <c r="H8" s="33"/>
      <c r="I8" s="33"/>
      <c r="J8" s="33">
        <f>$C$28*('E Balans VL '!D13+'E Balans VL '!E13)/100/3.6*1000000</f>
        <v>0</v>
      </c>
      <c r="K8" s="33"/>
      <c r="L8" s="33"/>
      <c r="M8" s="33"/>
      <c r="N8" s="33">
        <f>$C$28*'E Balans VL '!Y13/100/3.6*1000000</f>
        <v>3.0497133898037383</v>
      </c>
      <c r="O8" s="33"/>
      <c r="P8" s="33"/>
      <c r="R8" s="32"/>
    </row>
    <row r="9" spans="1:18">
      <c r="A9" s="32" t="s">
        <v>50</v>
      </c>
      <c r="B9" s="37">
        <f t="shared" si="0"/>
        <v>1169.519</v>
      </c>
      <c r="C9" s="33"/>
      <c r="D9" s="37">
        <f>IF(ISERROR(TER_gezond_gas_kWh/1000),0,TER_gezond_gas_kWh/1000)*0.902</f>
        <v>1803.7708920000002</v>
      </c>
      <c r="E9" s="33">
        <f>$C$29*'E Balans VL '!I10/100/3.6*1000000</f>
        <v>7.3223436314054341E-2</v>
      </c>
      <c r="F9" s="33">
        <f>$C$29*('E Balans VL '!L10+'E Balans VL '!N10)/100/3.6*1000000</f>
        <v>173.73560829623793</v>
      </c>
      <c r="G9" s="34"/>
      <c r="H9" s="33"/>
      <c r="I9" s="33"/>
      <c r="J9" s="33">
        <f>$C$29*('E Balans VL '!D10+'E Balans VL '!E10)/100/3.6*1000000</f>
        <v>0</v>
      </c>
      <c r="K9" s="33"/>
      <c r="L9" s="33"/>
      <c r="M9" s="33"/>
      <c r="N9" s="33">
        <f>$C$29*'E Balans VL '!Y10/100/3.6*1000000</f>
        <v>18.090232740937154</v>
      </c>
      <c r="O9" s="33"/>
      <c r="P9" s="33"/>
      <c r="R9" s="32"/>
    </row>
    <row r="10" spans="1:18">
      <c r="A10" s="32" t="s">
        <v>49</v>
      </c>
      <c r="B10" s="37">
        <f t="shared" si="0"/>
        <v>468.457134</v>
      </c>
      <c r="C10" s="33"/>
      <c r="D10" s="37">
        <f>IF(ISERROR(TER_ander_gas_kWh/1000),0,TER_ander_gas_kWh/1000)*0.902</f>
        <v>350.288994</v>
      </c>
      <c r="E10" s="33">
        <f>$C$30*'E Balans VL '!I14/100/3.6*1000000</f>
        <v>0.55838416389856504</v>
      </c>
      <c r="F10" s="33">
        <f>$C$30*('E Balans VL '!L14+'E Balans VL '!N14)/100/3.6*1000000</f>
        <v>122.56921222284062</v>
      </c>
      <c r="G10" s="34"/>
      <c r="H10" s="33"/>
      <c r="I10" s="33"/>
      <c r="J10" s="33">
        <f>$C$30*('E Balans VL '!D14+'E Balans VL '!E14)/100/3.6*1000000</f>
        <v>1.0168368077878596E-2</v>
      </c>
      <c r="K10" s="33"/>
      <c r="L10" s="33"/>
      <c r="M10" s="33"/>
      <c r="N10" s="33">
        <f>$C$30*'E Balans VL '!Y14/100/3.6*1000000</f>
        <v>397.802335208084</v>
      </c>
      <c r="O10" s="33"/>
      <c r="P10" s="33"/>
      <c r="R10" s="32"/>
    </row>
    <row r="11" spans="1:18">
      <c r="A11" s="32" t="s">
        <v>54</v>
      </c>
      <c r="B11" s="37">
        <f t="shared" si="0"/>
        <v>32.877000000000002</v>
      </c>
      <c r="C11" s="33"/>
      <c r="D11" s="37">
        <f>IF(ISERROR(TER_onderwijs_gas_kWh/1000),0,TER_onderwijs_gas_kWh/1000)*0.902</f>
        <v>89.907752000000002</v>
      </c>
      <c r="E11" s="33">
        <f>$C$31*'E Balans VL '!I11/100/3.6*1000000</f>
        <v>0.49606097655617315</v>
      </c>
      <c r="F11" s="33">
        <f>$C$31*('E Balans VL '!L11+'E Balans VL '!N11)/100/3.6*1000000</f>
        <v>5.7605756257002882</v>
      </c>
      <c r="G11" s="34"/>
      <c r="H11" s="33"/>
      <c r="I11" s="33"/>
      <c r="J11" s="33">
        <f>$C$31*('E Balans VL '!D11+'E Balans VL '!E11)/100/3.6*1000000</f>
        <v>0</v>
      </c>
      <c r="K11" s="33"/>
      <c r="L11" s="33"/>
      <c r="M11" s="33"/>
      <c r="N11" s="33">
        <f>$C$31*'E Balans VL '!Y11/100/3.6*1000000</f>
        <v>9.2518377404722005E-2</v>
      </c>
      <c r="O11" s="33"/>
      <c r="P11" s="33"/>
      <c r="R11" s="32"/>
    </row>
    <row r="12" spans="1:18">
      <c r="A12" s="32" t="s">
        <v>254</v>
      </c>
      <c r="B12" s="37">
        <f t="shared" si="0"/>
        <v>51.415304424242798</v>
      </c>
      <c r="C12" s="33"/>
      <c r="D12" s="37">
        <f>IF(ISERROR(TER_rest_gas_kWh/1000),0,TER_rest_gas_kWh/1000)*0.902</f>
        <v>0</v>
      </c>
      <c r="E12" s="33">
        <f>$C$32*'E Balans VL '!I8/100/3.6*1000000</f>
        <v>0.63847434353921428</v>
      </c>
      <c r="F12" s="33">
        <f>$C$32*('E Balans VL '!L8+'E Balans VL '!N8)/100/3.6*1000000</f>
        <v>8.8909759530882848</v>
      </c>
      <c r="G12" s="34"/>
      <c r="H12" s="33"/>
      <c r="I12" s="33"/>
      <c r="J12" s="33">
        <f>$C$32*('E Balans VL '!D8+'E Balans VL '!E8)/100/3.6*1000000</f>
        <v>1.2450345720656637E-4</v>
      </c>
      <c r="K12" s="33"/>
      <c r="L12" s="33"/>
      <c r="M12" s="33"/>
      <c r="N12" s="33">
        <f>$C$32*'E Balans VL '!Y8/100/3.6*1000000</f>
        <v>4.9785775839704431</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6710.7930604242447</v>
      </c>
      <c r="C16" s="21">
        <f t="shared" ca="1" si="1"/>
        <v>0</v>
      </c>
      <c r="D16" s="21">
        <f t="shared" ca="1" si="1"/>
        <v>5286.4021825999998</v>
      </c>
      <c r="E16" s="21">
        <f t="shared" si="1"/>
        <v>97.400718947455033</v>
      </c>
      <c r="F16" s="21">
        <f t="shared" ca="1" si="1"/>
        <v>1127.7663271790645</v>
      </c>
      <c r="G16" s="21">
        <f t="shared" si="1"/>
        <v>0</v>
      </c>
      <c r="H16" s="21">
        <f t="shared" si="1"/>
        <v>0</v>
      </c>
      <c r="I16" s="21">
        <f t="shared" si="1"/>
        <v>0</v>
      </c>
      <c r="J16" s="21">
        <f t="shared" si="1"/>
        <v>1.0292871535085162E-2</v>
      </c>
      <c r="K16" s="21">
        <f t="shared" si="1"/>
        <v>0</v>
      </c>
      <c r="L16" s="21">
        <f t="shared" ca="1" si="1"/>
        <v>0</v>
      </c>
      <c r="M16" s="21">
        <f t="shared" si="1"/>
        <v>0</v>
      </c>
      <c r="N16" s="21">
        <f t="shared" ca="1" si="1"/>
        <v>425.94193695178427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0.19740045786401425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1324.7136227583953</v>
      </c>
      <c r="C20" s="23">
        <f t="shared" ref="C20:P20" ca="1" si="2">C16*C18</f>
        <v>0</v>
      </c>
      <c r="D20" s="23">
        <f t="shared" ca="1" si="2"/>
        <v>1067.8532408852</v>
      </c>
      <c r="E20" s="23">
        <f t="shared" si="2"/>
        <v>22.109963201072294</v>
      </c>
      <c r="F20" s="23">
        <f t="shared" ca="1" si="2"/>
        <v>301.11360935681023</v>
      </c>
      <c r="G20" s="23">
        <f t="shared" si="2"/>
        <v>0</v>
      </c>
      <c r="H20" s="23">
        <f t="shared" si="2"/>
        <v>0</v>
      </c>
      <c r="I20" s="23">
        <f t="shared" si="2"/>
        <v>0</v>
      </c>
      <c r="J20" s="23">
        <f t="shared" si="2"/>
        <v>3.6436765234201473E-3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1685.4874499999999</v>
      </c>
      <c r="C26" s="39">
        <f>IF(ISERROR(B26*3.6/1000000/'E Balans VL '!Z12*100),0,B26*3.6/1000000/'E Balans VL '!Z12*100)</f>
        <v>3.5628534665207511E-2</v>
      </c>
      <c r="D26" s="233" t="s">
        <v>732</v>
      </c>
      <c r="F26" s="6"/>
    </row>
    <row r="27" spans="1:18">
      <c r="A27" s="228" t="s">
        <v>52</v>
      </c>
      <c r="B27" s="33">
        <f>IF(ISERROR(TER_horeca_ele_kWh/1000),0,TER_horeca_ele_kWh/1000)</f>
        <v>1101.443796</v>
      </c>
      <c r="C27" s="39">
        <f>IF(ISERROR(B27*3.6/1000000/'E Balans VL '!Z9*100),0,B27*3.6/1000000/'E Balans VL '!Z9*100)</f>
        <v>8.682640390961896E-2</v>
      </c>
      <c r="D27" s="233" t="s">
        <v>732</v>
      </c>
      <c r="F27" s="6"/>
    </row>
    <row r="28" spans="1:18">
      <c r="A28" s="168" t="s">
        <v>51</v>
      </c>
      <c r="B28" s="33">
        <f>IF(ISERROR(TER_handel_ele_kWh/1000),0,TER_handel_ele_kWh/1000)</f>
        <v>2201.5933760000003</v>
      </c>
      <c r="C28" s="39">
        <f>IF(ISERROR(B28*3.6/1000000/'E Balans VL '!Z13*100),0,B28*3.6/1000000/'E Balans VL '!Z13*100)</f>
        <v>6.3899135205546728E-2</v>
      </c>
      <c r="D28" s="233" t="s">
        <v>732</v>
      </c>
      <c r="F28" s="6"/>
    </row>
    <row r="29" spans="1:18">
      <c r="A29" s="228" t="s">
        <v>50</v>
      </c>
      <c r="B29" s="33">
        <f>IF(ISERROR(TER_gezond_ele_kWh/1000),0,TER_gezond_ele_kWh/1000)</f>
        <v>1169.519</v>
      </c>
      <c r="C29" s="39">
        <f>IF(ISERROR(B29*3.6/1000000/'E Balans VL '!Z10*100),0,B29*3.6/1000000/'E Balans VL '!Z10*100)</f>
        <v>0.1231695547088916</v>
      </c>
      <c r="D29" s="233" t="s">
        <v>732</v>
      </c>
      <c r="F29" s="6"/>
    </row>
    <row r="30" spans="1:18">
      <c r="A30" s="228" t="s">
        <v>49</v>
      </c>
      <c r="B30" s="33">
        <f>IF(ISERROR(TER_ander_ele_kWh/1000),0,TER_ander_ele_kWh/1000)</f>
        <v>468.457134</v>
      </c>
      <c r="C30" s="39">
        <f>IF(ISERROR(B30*3.6/1000000/'E Balans VL '!Z14*100),0,B30*3.6/1000000/'E Balans VL '!Z14*100)</f>
        <v>3.4553499952223371E-2</v>
      </c>
      <c r="D30" s="233" t="s">
        <v>732</v>
      </c>
      <c r="F30" s="6"/>
    </row>
    <row r="31" spans="1:18">
      <c r="A31" s="228" t="s">
        <v>54</v>
      </c>
      <c r="B31" s="33">
        <f>IF(ISERROR(TER_onderwijs_ele_kWh/1000),0,TER_onderwijs_ele_kWh/1000)</f>
        <v>32.877000000000002</v>
      </c>
      <c r="C31" s="39">
        <f>IF(ISERROR(B31*3.6/1000000/'E Balans VL '!Z11*100),0,B31*3.6/1000000/'E Balans VL '!Z11*100)</f>
        <v>8.1648991493766792E-3</v>
      </c>
      <c r="D31" s="233" t="s">
        <v>732</v>
      </c>
    </row>
    <row r="32" spans="1:18">
      <c r="A32" s="228" t="s">
        <v>254</v>
      </c>
      <c r="B32" s="33">
        <f>IF(ISERROR(TER_rest_ele_kWh/1000),0,TER_rest_ele_kWh/1000)</f>
        <v>51.415304424242798</v>
      </c>
      <c r="C32" s="39">
        <f>IF(ISERROR(B32*3.6/1000000/'E Balans VL '!Z8*100),0,B32*3.6/1000000/'E Balans VL '!Z8*100)</f>
        <v>4.2307970853237034E-4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2052.066617</v>
      </c>
      <c r="C5" s="17">
        <f>IF(ISERROR('Eigen informatie GS &amp; warmtenet'!B59),0,'Eigen informatie GS &amp; warmtenet'!B59)</f>
        <v>0</v>
      </c>
      <c r="D5" s="30">
        <f>SUM(D6:D15)</f>
        <v>317.64381000000003</v>
      </c>
      <c r="E5" s="17">
        <f>SUM(E6:E15)</f>
        <v>230.63942176926733</v>
      </c>
      <c r="F5" s="17">
        <f>SUM(F6:F15)</f>
        <v>709.75569426546872</v>
      </c>
      <c r="G5" s="18"/>
      <c r="H5" s="17"/>
      <c r="I5" s="17"/>
      <c r="J5" s="17">
        <f>SUM(J6:J15)</f>
        <v>1.1418313549845398</v>
      </c>
      <c r="K5" s="17"/>
      <c r="L5" s="17"/>
      <c r="M5" s="17"/>
      <c r="N5" s="17">
        <f>SUM(N6:N15)</f>
        <v>137.31684018817737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208.757667</v>
      </c>
      <c r="C8" s="33"/>
      <c r="D8" s="37">
        <f>IF( ISERROR(IND_metaal_Gas_kWH/1000),0,IND_metaal_Gas_kWH/1000)*0.902</f>
        <v>0</v>
      </c>
      <c r="E8" s="33">
        <f>C30*'E Balans VL '!I18/100/3.6*1000000</f>
        <v>1.919325127992799</v>
      </c>
      <c r="F8" s="33">
        <f>C30*'E Balans VL '!L18/100/3.6*1000000+C30*'E Balans VL '!N18/100/3.6*1000000</f>
        <v>19.574518918329776</v>
      </c>
      <c r="G8" s="34"/>
      <c r="H8" s="33"/>
      <c r="I8" s="33"/>
      <c r="J8" s="40">
        <f>C30*'E Balans VL '!D18/100/3.6*1000000+C30*'E Balans VL '!E18/100/3.6*1000000</f>
        <v>0</v>
      </c>
      <c r="K8" s="33"/>
      <c r="L8" s="33"/>
      <c r="M8" s="33"/>
      <c r="N8" s="33">
        <f>C30*'E Balans VL '!Y18/100/3.6*1000000</f>
        <v>2.9782731063274639</v>
      </c>
      <c r="O8" s="33"/>
      <c r="P8" s="33"/>
      <c r="R8" s="32"/>
    </row>
    <row r="9" spans="1:18">
      <c r="A9" s="6" t="s">
        <v>32</v>
      </c>
      <c r="B9" s="37">
        <f t="shared" si="0"/>
        <v>716.33834999999999</v>
      </c>
      <c r="C9" s="33"/>
      <c r="D9" s="37">
        <f>IF( ISERROR(IND_andere_gas_kWh/1000),0,IND_andere_gas_kWh/1000)*0.902</f>
        <v>225.885154</v>
      </c>
      <c r="E9" s="33">
        <f>C31*'E Balans VL '!I19/100/3.6*1000000</f>
        <v>209.39964516781666</v>
      </c>
      <c r="F9" s="33">
        <f>C31*'E Balans VL '!L19/100/3.6*1000000+C31*'E Balans VL '!N19/100/3.6*1000000</f>
        <v>575.63208605587215</v>
      </c>
      <c r="G9" s="34"/>
      <c r="H9" s="33"/>
      <c r="I9" s="33"/>
      <c r="J9" s="40">
        <f>C31*'E Balans VL '!D19/100/3.6*1000000+C31*'E Balans VL '!E19/100/3.6*1000000</f>
        <v>0</v>
      </c>
      <c r="K9" s="33"/>
      <c r="L9" s="33"/>
      <c r="M9" s="33"/>
      <c r="N9" s="33">
        <f>C31*'E Balans VL '!Y19/100/3.6*1000000</f>
        <v>56.188607265552541</v>
      </c>
      <c r="O9" s="33"/>
      <c r="P9" s="33"/>
      <c r="R9" s="32"/>
    </row>
    <row r="10" spans="1:18">
      <c r="A10" s="6" t="s">
        <v>40</v>
      </c>
      <c r="B10" s="37">
        <f t="shared" si="0"/>
        <v>808.02159999999992</v>
      </c>
      <c r="C10" s="33"/>
      <c r="D10" s="37">
        <f>IF( ISERROR(IND_voed_gas_kWh/1000),0,IND_voed_gas_kWh/1000)*0.902</f>
        <v>0</v>
      </c>
      <c r="E10" s="33">
        <f>C32*'E Balans VL '!I20/100/3.6*1000000</f>
        <v>1.709382223323294</v>
      </c>
      <c r="F10" s="33">
        <f>C32*'E Balans VL '!L20/100/3.6*1000000+C32*'E Balans VL '!N20/100/3.6*1000000</f>
        <v>51.374838697860802</v>
      </c>
      <c r="G10" s="34"/>
      <c r="H10" s="33"/>
      <c r="I10" s="33"/>
      <c r="J10" s="40">
        <f>C32*'E Balans VL '!D20/100/3.6*1000000+C32*'E Balans VL '!E20/100/3.6*1000000</f>
        <v>0</v>
      </c>
      <c r="K10" s="33"/>
      <c r="L10" s="33"/>
      <c r="M10" s="33"/>
      <c r="N10" s="33">
        <f>C32*'E Balans VL '!Y20/100/3.6*1000000</f>
        <v>55.7614641519841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318.94900000000001</v>
      </c>
      <c r="C15" s="33"/>
      <c r="D15" s="37">
        <f>IF( ISERROR(IND_rest_gas_kWh/1000),0,IND_rest_gas_kWh/1000)*0.902</f>
        <v>91.758656000000002</v>
      </c>
      <c r="E15" s="33">
        <f>C37*'E Balans VL '!I15/100/3.6*1000000</f>
        <v>17.611069250134562</v>
      </c>
      <c r="F15" s="33">
        <f>C37*'E Balans VL '!L15/100/3.6*1000000+C37*'E Balans VL '!N15/100/3.6*1000000</f>
        <v>63.174250593405972</v>
      </c>
      <c r="G15" s="34"/>
      <c r="H15" s="33"/>
      <c r="I15" s="33"/>
      <c r="J15" s="40">
        <f>C37*'E Balans VL '!D15/100/3.6*1000000+C37*'E Balans VL '!E15/100/3.6*1000000</f>
        <v>1.1418313549845398</v>
      </c>
      <c r="K15" s="33"/>
      <c r="L15" s="33"/>
      <c r="M15" s="33"/>
      <c r="N15" s="33">
        <f>C37*'E Balans VL '!Y15/100/3.6*1000000</f>
        <v>22.388495664313254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2052.066617</v>
      </c>
      <c r="C18" s="21">
        <f>C5+C16</f>
        <v>0</v>
      </c>
      <c r="D18" s="21">
        <f>MAX((D5+D16),0)</f>
        <v>317.64381000000003</v>
      </c>
      <c r="E18" s="21">
        <f>MAX((E5+E16),0)</f>
        <v>230.63942176926733</v>
      </c>
      <c r="F18" s="21">
        <f>MAX((F5+F16),0)</f>
        <v>709.75569426546872</v>
      </c>
      <c r="G18" s="21"/>
      <c r="H18" s="21"/>
      <c r="I18" s="21"/>
      <c r="J18" s="21">
        <f>MAX((J5+J16),0)</f>
        <v>1.1418313549845398</v>
      </c>
      <c r="K18" s="21"/>
      <c r="L18" s="21">
        <f>MAX((L5+L16),0)</f>
        <v>0</v>
      </c>
      <c r="M18" s="21"/>
      <c r="N18" s="21">
        <f>MAX((N5+N16),0)</f>
        <v>137.31684018817737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0.19740045786401425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405.07888976325876</v>
      </c>
      <c r="C22" s="23">
        <f ca="1">C18*C20</f>
        <v>0</v>
      </c>
      <c r="D22" s="23">
        <f>D18*D20</f>
        <v>64.164049620000014</v>
      </c>
      <c r="E22" s="23">
        <f>E18*E20</f>
        <v>52.355148741623687</v>
      </c>
      <c r="F22" s="23">
        <f>F18*F20</f>
        <v>189.50477036888014</v>
      </c>
      <c r="G22" s="23"/>
      <c r="H22" s="23"/>
      <c r="I22" s="23"/>
      <c r="J22" s="23">
        <f>J18*J20</f>
        <v>0.40420829966452709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208.757667</v>
      </c>
      <c r="C30" s="39">
        <f>IF(ISERROR(B30*3.6/1000000/'E Balans VL '!Z18*100),0,B30*3.6/1000000/'E Balans VL '!Z18*100)</f>
        <v>1.1830832278558724E-2</v>
      </c>
      <c r="D30" s="233" t="s">
        <v>732</v>
      </c>
    </row>
    <row r="31" spans="1:18">
      <c r="A31" s="6" t="s">
        <v>32</v>
      </c>
      <c r="B31" s="37">
        <f>IF( ISERROR(IND_ander_ele_kWh/1000),0,IND_ander_ele_kWh/1000)</f>
        <v>716.33834999999999</v>
      </c>
      <c r="C31" s="39">
        <f>IF(ISERROR(B31*3.6/1000000/'E Balans VL '!Z19*100),0,B31*3.6/1000000/'E Balans VL '!Z19*100)</f>
        <v>3.2490124775024991E-2</v>
      </c>
      <c r="D31" s="233" t="s">
        <v>732</v>
      </c>
    </row>
    <row r="32" spans="1:18">
      <c r="A32" s="168" t="s">
        <v>40</v>
      </c>
      <c r="B32" s="37">
        <f>IF( ISERROR(IND_voed_ele_kWh/1000),0,IND_voed_ele_kWh/1000)</f>
        <v>808.02159999999992</v>
      </c>
      <c r="C32" s="39">
        <f>IF(ISERROR(B32*3.6/1000000/'E Balans VL '!Z20*100),0,B32*3.6/1000000/'E Balans VL '!Z20*100)</f>
        <v>2.4995776196345462E-2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318.94900000000001</v>
      </c>
      <c r="C37" s="39">
        <f>IF(ISERROR(B37*3.6/1000000/'E Balans VL '!Z15*100),0,B37*3.6/1000000/'E Balans VL '!Z15*100)</f>
        <v>2.5280625316251855E-3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1086.7080000000001</v>
      </c>
      <c r="C5" s="17">
        <f>'Eigen informatie GS &amp; warmtenet'!B60</f>
        <v>0</v>
      </c>
      <c r="D5" s="30">
        <f>IF(ISERROR(SUM(LB_lb_gas_kWh,LB_rest_gas_kWh)/1000),0,SUM(LB_lb_gas_kWh,LB_rest_gas_kWh)/1000)*0.902</f>
        <v>38.705722000000002</v>
      </c>
      <c r="E5" s="17">
        <f>B17*'E Balans VL '!I25/3.6*1000000/100</f>
        <v>31.941667309337813</v>
      </c>
      <c r="F5" s="17">
        <f>B17*('E Balans VL '!L25/3.6*1000000+'E Balans VL '!N25/3.6*1000000)/100</f>
        <v>4527.1668053818939</v>
      </c>
      <c r="G5" s="18"/>
      <c r="H5" s="17"/>
      <c r="I5" s="17"/>
      <c r="J5" s="17">
        <f>('E Balans VL '!D25+'E Balans VL '!E25)/3.6*1000000*landbouw!B17/100</f>
        <v>157.44065187856032</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1086.7080000000001</v>
      </c>
      <c r="C8" s="21">
        <f>C5+C6</f>
        <v>62.357142857142847</v>
      </c>
      <c r="D8" s="21">
        <f>MAX((D5+D6),0)</f>
        <v>38.705722000000002</v>
      </c>
      <c r="E8" s="21">
        <f>MAX((E5+E6),0)</f>
        <v>31.941667309337813</v>
      </c>
      <c r="F8" s="21">
        <f>MAX((F5+F6),0)</f>
        <v>4527.1668053818939</v>
      </c>
      <c r="G8" s="21"/>
      <c r="H8" s="21"/>
      <c r="I8" s="21"/>
      <c r="J8" s="21">
        <f>MAX((J5+J6),0)</f>
        <v>157.44065187856032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0.19740045786401425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214.51665676448721</v>
      </c>
      <c r="C12" s="23">
        <f ca="1">C8*C10</f>
        <v>0</v>
      </c>
      <c r="D12" s="23">
        <f>D8*D10</f>
        <v>7.8185558440000005</v>
      </c>
      <c r="E12" s="23">
        <f>E8*E10</f>
        <v>7.2507584792196837</v>
      </c>
      <c r="F12" s="23">
        <f>F8*F10</f>
        <v>1208.7535370369658</v>
      </c>
      <c r="G12" s="23"/>
      <c r="H12" s="23"/>
      <c r="I12" s="23"/>
      <c r="J12" s="23">
        <f>J8*J10</f>
        <v>55.733990765010347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0.15420727464237263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382.06787590151453</v>
      </c>
      <c r="C26" s="243">
        <f>B26*'GWP N2O_CH4'!B5</f>
        <v>8023.425393931805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65.861102588450024</v>
      </c>
      <c r="C27" s="243">
        <f>B27*'GWP N2O_CH4'!B5</f>
        <v>1383.0831543574504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4.9111252239016823</v>
      </c>
      <c r="C28" s="243">
        <f>B28*'GWP N2O_CH4'!B4</f>
        <v>1522.4488194095215</v>
      </c>
      <c r="D28" s="50"/>
    </row>
    <row r="29" spans="1:4">
      <c r="A29" s="41" t="s">
        <v>271</v>
      </c>
      <c r="B29" s="243">
        <f>B34*'ha_N2O bodem landbouw'!B4</f>
        <v>17.509073624933006</v>
      </c>
      <c r="C29" s="243">
        <f>B29*'GWP N2O_CH4'!B4</f>
        <v>5427.8128237292322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3.9955102622576963E-3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1.4168645423278422E-4</v>
      </c>
      <c r="C5" s="431" t="s">
        <v>210</v>
      </c>
      <c r="D5" s="416">
        <f>SUM(D6:D11)</f>
        <v>2.5025787809922477E-4</v>
      </c>
      <c r="E5" s="416">
        <f>SUM(E6:E11)</f>
        <v>4.3501122384333499E-4</v>
      </c>
      <c r="F5" s="429" t="s">
        <v>210</v>
      </c>
      <c r="G5" s="416">
        <f>SUM(G6:G11)</f>
        <v>0.19719254908881154</v>
      </c>
      <c r="H5" s="416">
        <f>SUM(H6:H11)</f>
        <v>4.019690195864873E-2</v>
      </c>
      <c r="I5" s="431" t="s">
        <v>210</v>
      </c>
      <c r="J5" s="431" t="s">
        <v>210</v>
      </c>
      <c r="K5" s="431" t="s">
        <v>210</v>
      </c>
      <c r="L5" s="431" t="s">
        <v>210</v>
      </c>
      <c r="M5" s="416">
        <f>SUM(M6:M11)</f>
        <v>1.2704466095664217E-2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1.0645495950864849E-4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1.7896950696476651E-4</v>
      </c>
      <c r="E6" s="859">
        <f>vkm_GW_PW*SUMIFS(TableVerdeelsleutelVkm[LPG],TableVerdeelsleutelVkm[Voertuigtype],"Lichte voertuigen")*SUMIFS(TableECFTransport[EnergieConsumptieFactor (PJ per km)],TableECFTransport[Index],CONCATENATE($A6,"_LPG_LPG"))</f>
        <v>3.1489838070040873E-4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9.3429437813077817E-2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2.891495835165862E-2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6.3099362676726032E-3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2.0270664494076458E-6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6.511022289063545E-2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1.0623114879016262E-6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3.8041001838627665E-3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3.3070667376832258E-5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7.1288371134458275E-5</v>
      </c>
      <c r="E8" s="419">
        <f>vkm_NGW_PW*SUMIFS(TableVerdeelsleutelVkm[LPG],TableVerdeelsleutelVkm[Voertuigtype],"Lichte voertuigen")*SUMIFS(TableECFTransport[EnergieConsumptieFactor (PJ per km)],TableECFTransport[Index],CONCATENATE($A8,"_LPG_LPG"))</f>
        <v>1.2011284314292625E-4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3.3140250842979134E-2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1.1280796683978888E-2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2.2683509545116552E-3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1.3376089789582631E-7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5.5126375421191247E-3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8.4611523325023701E-8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3.2207868961719262E-4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39.357348397995615</v>
      </c>
      <c r="C14" s="21"/>
      <c r="D14" s="21">
        <f t="shared" ref="D14:M14" si="0">((D5)*10^9/3600)+D12</f>
        <v>69.516077249784658</v>
      </c>
      <c r="E14" s="21">
        <f t="shared" si="0"/>
        <v>120.83645106759306</v>
      </c>
      <c r="F14" s="21"/>
      <c r="G14" s="21">
        <f t="shared" si="0"/>
        <v>54775.708080225428</v>
      </c>
      <c r="H14" s="21">
        <f t="shared" si="0"/>
        <v>11165.806099624646</v>
      </c>
      <c r="I14" s="21"/>
      <c r="J14" s="21"/>
      <c r="K14" s="21"/>
      <c r="L14" s="21"/>
      <c r="M14" s="21">
        <f t="shared" si="0"/>
        <v>3529.0183599067273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0.19740045786401425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7.7691585940778625</v>
      </c>
      <c r="C18" s="23"/>
      <c r="D18" s="23">
        <f t="shared" ref="D18:M18" si="1">D14*D16</f>
        <v>14.042247604456502</v>
      </c>
      <c r="E18" s="23">
        <f t="shared" si="1"/>
        <v>27.429874392343624</v>
      </c>
      <c r="F18" s="23"/>
      <c r="G18" s="23">
        <f t="shared" si="1"/>
        <v>14625.114057420191</v>
      </c>
      <c r="H18" s="23">
        <f t="shared" si="1"/>
        <v>2780.2857188065368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8.6404642262806613E-5</v>
      </c>
      <c r="C50" s="313">
        <f t="shared" ref="C50:P50" si="2">SUM(C51:C52)</f>
        <v>0</v>
      </c>
      <c r="D50" s="313">
        <f t="shared" si="2"/>
        <v>0</v>
      </c>
      <c r="E50" s="313">
        <f t="shared" si="2"/>
        <v>0</v>
      </c>
      <c r="F50" s="313">
        <f t="shared" si="2"/>
        <v>0</v>
      </c>
      <c r="G50" s="313">
        <f t="shared" si="2"/>
        <v>8.1168584970837711E-3</v>
      </c>
      <c r="H50" s="313">
        <f t="shared" si="2"/>
        <v>0</v>
      </c>
      <c r="I50" s="313">
        <f t="shared" si="2"/>
        <v>0</v>
      </c>
      <c r="J50" s="313">
        <f t="shared" si="2"/>
        <v>0</v>
      </c>
      <c r="K50" s="313">
        <f t="shared" si="2"/>
        <v>0</v>
      </c>
      <c r="L50" s="313">
        <f t="shared" si="2"/>
        <v>0</v>
      </c>
      <c r="M50" s="313">
        <f t="shared" si="2"/>
        <v>4.6742550984933624E-4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8.6404642262806613E-5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8.1168584970837711E-3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4.6742550984933624E-4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24.001289517446281</v>
      </c>
      <c r="C54" s="21">
        <f t="shared" ref="C54:P54" si="3">(C50)*10^9/3600</f>
        <v>0</v>
      </c>
      <c r="D54" s="21">
        <f t="shared" si="3"/>
        <v>0</v>
      </c>
      <c r="E54" s="21">
        <f t="shared" si="3"/>
        <v>0</v>
      </c>
      <c r="F54" s="21">
        <f t="shared" si="3"/>
        <v>0</v>
      </c>
      <c r="G54" s="21">
        <f t="shared" si="3"/>
        <v>2254.6829158566029</v>
      </c>
      <c r="H54" s="21">
        <f t="shared" si="3"/>
        <v>0</v>
      </c>
      <c r="I54" s="21">
        <f t="shared" si="3"/>
        <v>0</v>
      </c>
      <c r="J54" s="21">
        <f t="shared" si="3"/>
        <v>0</v>
      </c>
      <c r="K54" s="21">
        <f t="shared" si="3"/>
        <v>0</v>
      </c>
      <c r="L54" s="21">
        <f t="shared" si="3"/>
        <v>0</v>
      </c>
      <c r="M54" s="21">
        <f t="shared" si="3"/>
        <v>129.8404194025934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0.19740045786401425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4.7378655400706613</v>
      </c>
      <c r="C58" s="23">
        <f t="shared" ref="C58:P58" ca="1" si="4">C54*C56</f>
        <v>0</v>
      </c>
      <c r="D58" s="23">
        <f t="shared" si="4"/>
        <v>0</v>
      </c>
      <c r="E58" s="23">
        <f t="shared" si="4"/>
        <v>0</v>
      </c>
      <c r="F58" s="23">
        <f t="shared" si="4"/>
        <v>0</v>
      </c>
      <c r="G58" s="23">
        <f t="shared" si="4"/>
        <v>602.00033853371303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2807.2030757149473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2850.8530757149474</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23024</v>
      </c>
      <c r="C28" s="764">
        <v>1755</v>
      </c>
      <c r="D28" s="621" t="s">
        <v>902</v>
      </c>
      <c r="E28" s="620" t="s">
        <v>903</v>
      </c>
      <c r="F28" s="620" t="s">
        <v>904</v>
      </c>
      <c r="G28" s="620" t="s">
        <v>905</v>
      </c>
      <c r="H28" s="620" t="s">
        <v>906</v>
      </c>
      <c r="I28" s="620" t="s">
        <v>903</v>
      </c>
      <c r="J28" s="763">
        <v>41768</v>
      </c>
      <c r="K28" s="763">
        <v>41768</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2021-06-29T15:37:47Z</dcterms:modified>
</cp:coreProperties>
</file>