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D6" i="17" s="1"/>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L6" i="17" s="1"/>
  <c r="S33" i="18"/>
  <c r="R33" i="18"/>
  <c r="Q33" i="18"/>
  <c r="P33" i="18"/>
  <c r="O33" i="18"/>
  <c r="C6" i="17" s="1"/>
  <c r="N33" i="18"/>
  <c r="M33" i="18"/>
  <c r="W32" i="18"/>
  <c r="V32" i="18"/>
  <c r="U32" i="18"/>
  <c r="T32" i="18"/>
  <c r="S32" i="18"/>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6" i="18" l="1"/>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<sst xmlns="http://schemas.openxmlformats.org/spreadsheetml/2006/main" count="2494" uniqueCount="912">
  <si>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</si>
  <si>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</si>
  <si>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</si>
  <si>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</si>
  <si>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</si>
  <si>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</si>
  <si>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</si>
  <si>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</si>
  <si>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</si>
  <si>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</si>
  <si>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</si>
  <si>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</si>
  <si>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</si>
  <si>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</si>
  <si>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</si>
  <si>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</si>
  <si>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</si>
  <si>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</si>
  <si>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</si>
  <si>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</si>
  <si>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</si>
  <si>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</si>
  <si>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</si>
  <si>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</si>
  <si>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</si>
  <si>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</si>
  <si>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</si>
  <si>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</si>
  <si>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</si>
  <si>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</si>
  <si>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</si>
  <si>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</si>
  <si>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</si>
  <si>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</si>
  <si>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</si>
  <si>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</si>
  <si>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</si>
  <si>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</si>
  <si>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</si>
  <si>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</si>
  <si>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</si>
  <si>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</si>
  <si>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</si>
  <si>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</si>
  <si>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</si>
  <si>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</si>
  <si>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</si>
  <si>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</si>
  <si>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</si>
  <si>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</si>
  <si>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</si>
  <si>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</si>
  <si>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</si>
  <si>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</si>
  <si>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</si>
  <si>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</si>
  <si>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</si>
  <si>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</si>
  <si>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</si>
  <si>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</si>
  <si>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</si>
  <si>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</si>
  <si>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</si>
  <si>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</si>
  <si>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</si>
  <si>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</si>
  <si>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</si>
  <si>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</si>
  <si>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</si>
  <si>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</si>
  <si>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</si>
  <si>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</si>
  <si>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</si>
  <si>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</si>
  <si>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</si>
  <si>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</si>
  <si>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</si>
  <si>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</si>
  <si>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</si>
  <si>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</si>
  <si>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</si>
  <si>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</si>
  <si>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</si>
  <si>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</si>
  <si>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</si>
  <si>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</si>
  <si>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</si>
  <si>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</si>
  <si>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</si>
  <si>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</si>
  <si>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</si>
  <si>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</si>
  <si>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</si>
  <si>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</si>
  <si>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</si>
  <si>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</si>
  <si>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</si>
  <si>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</si>
  <si>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</si>
  <si>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</si>
  <si>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</si>
  <si>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</si>
  <si>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</si>
  <si>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</si>
  <si>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</si>
  <si>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</si>
  <si>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</si>
  <si>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</si>
  <si>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</si>
  <si>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</si>
  <si>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</si>
  <si>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</si>
  <si>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</si>
  <si>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</si>
  <si>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</si>
  <si>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</si>
  <si>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</si>
  <si>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</si>
  <si>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</si>
  <si>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</si>
  <si>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</si>
  <si>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</si>
  <si>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</si>
  <si>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</si>
  <si>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</si>
  <si>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</si>
  <si>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</si>
  <si>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</si>
  <si>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</si>
  <si>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</si>
  <si>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</si>
  <si>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</si>
  <si>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</si>
  <si>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</si>
  <si>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</si>
  <si>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</si>
  <si>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</si>
  <si>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</si>
  <si>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</si>
  <si>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</si>
  <si>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</si>
  <si>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</si>
  <si>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</si>
  <si>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</si>
  <si>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</si>
  <si>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</si>
  <si>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</si>
  <si>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</si>
  <si>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</si>
  <si>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</si>
  <si>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</si>
  <si>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</si>
  <si>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</si>
  <si>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</si>
  <si>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</si>
  <si>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</si>
  <si>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</si>
  <si>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</si>
  <si>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</si>
  <si>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</si>
  <si>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</si>
  <si>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</si>
  <si>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</si>
  <si>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</si>
  <si>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</si>
  <si>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</si>
  <si>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</si>
  <si>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</si>
  <si>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</si>
  <si>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</si>
  <si>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</si>
  <si>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</si>
  <si>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</si>
  <si>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</si>
  <si>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</si>
  <si>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</si>
  <si>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</si>
  <si>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</si>
  <si>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</si>
  <si>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</si>
  <si>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</si>
  <si>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</si>
  <si>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</si>
  <si>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</si>
  <si>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</si>
  <si>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</si>
  <si>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</si>
  <si>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</si>
  <si>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</si>
  <si>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</si>
  <si>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</si>
  <si>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</si>
  <si>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</si>
  <si>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</si>
  <si>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</si>
  <si>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</si>
  <si>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</si>
  <si>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</si>
  <si>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</si>
  <si>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</si>
  <si>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</si>
  <si>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</si>
  <si>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</si>
  <si>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</si>
  <si>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</si>
  <si>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</si>
  <si>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</si>
  <si>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</si>
  <si>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</si>
  <si>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</si>
  <si>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</si>
  <si>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</si>
  <si>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</si>
  <si>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</si>
  <si>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</si>
  <si>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</si>
  <si>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</si>
  <si>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</si>
  <si>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</si>
  <si>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</si>
  <si>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</si>
  <si>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</si>
  <si>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</si>
  <si>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</si>
  <si>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</si>
  <si>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</si>
  <si>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</si>
  <si>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</si>
  <si>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</si>
  <si>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</si>
  <si>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</si>
  <si>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</si>
  <si>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</si>
  <si>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</si>
  <si>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</si>
  <si>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</si>
  <si>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</si>
  <si>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</si>
  <si>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</si>
  <si>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</si>
  <si>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</si>
  <si>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</si>
  <si>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</si>
  <si>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</si>
  <si>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</si>
  <si>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</si>
  <si>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</si>
  <si>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</si>
  <si>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</si>
  <si>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</si>
  <si>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</si>
  <si>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</si>
  <si>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</si>
  <si>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</si>
  <si>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</si>
  <si>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</si>
  <si>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</si>
  <si>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</si>
  <si>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</si>
  <si>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</si>
  <si>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</si>
  <si>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</si>
  <si>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</si>
  <si>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</si>
  <si>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</si>
  <si>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</si>
  <si>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</si>
  <si>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</si>
  <si>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</si>
  <si>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</si>
  <si>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</si>
  <si>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</si>
  <si>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</si>
  <si>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</si>
  <si>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</si>
  <si>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</si>
  <si>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</si>
  <si>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</si>
  <si>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</si>
  <si>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</si>
  <si>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</si>
  <si>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</si>
  <si>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</si>
  <si>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</si>
  <si>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</si>
  <si>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</si>
  <si>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</si>
  <si>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</si>
  <si>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</si>
  <si>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</si>
  <si>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</si>
  <si>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</si>
  <si>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</si>
  <si>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</si>
  <si>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</si>
  <si>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</si>
  <si>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</si>
  <si>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</si>
  <si>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</si>
  <si>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</si>
  <si>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</si>
  <si>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</si>
  <si>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</si>
  <si>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</si>
  <si>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</si>
  <si>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</si>
  <si>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</si>
  <si>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</si>
  <si>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</si>
  <si>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</si>
  <si>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</si>
  <si>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</si>
  <si>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</si>
  <si>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</si>
  <si>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</si>
  <si>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</si>
  <si>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</si>
  <si>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</si>
  <si>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</si>
  <si>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</si>
  <si>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</si>
  <si>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</si>
  <si>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</si>
  <si>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</si>
  <si>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</si>
  <si>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</si>
  <si>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</si>
  <si>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</si>
  <si>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</si>
  <si>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</si>
  <si>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</si>
  <si>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</si>
  <si>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</si>
  <si>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</si>
  <si>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</si>
  <si>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</si>
  <si>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</si>
  <si>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</si>
  <si>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</si>
  <si>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</si>
  <si>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</si>
  <si>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</si>
  <si>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</si>
  <si>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</si>
  <si>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</si>
  <si>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</si>
  <si>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</si>
  <si>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</si>
  <si>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</si>
  <si>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</si>
  <si>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</si>
  <si>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</si>
  <si>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</si>
  <si>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</si>
  <si>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</si>
  <si>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</si>
  <si>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</si>
  <si>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</si>
  <si>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</si>
  <si>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</si>
  <si>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</si>
  <si>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</si>
  <si>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</si>
  <si>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</si>
  <si>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</si>
  <si>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</si>
  <si>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</si>
  <si>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</si>
  <si>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</si>
  <si>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</si>
  <si>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</si>
  <si>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</si>
  <si>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</si>
  <si>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</si>
  <si>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</si>
  <si>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</si>
  <si>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</si>
  <si>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</si>
  <si>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</si>
  <si>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</si>
  <si>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</si>
  <si>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</si>
  <si>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</si>
  <si>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</si>
  <si>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</si>
  <si>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</si>
  <si>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</si>
  <si>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</si>
  <si>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</si>
  <si>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</si>
  <si>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</si>
  <si>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</si>
  <si>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</si>
  <si>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</si>
  <si>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</si>
  <si>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</si>
  <si>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</si>
  <si>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</si>
  <si>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</si>
  <si>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</si>
  <si>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</si>
  <si>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</si>
  <si>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</si>
  <si>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</si>
  <si>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</si>
  <si>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</si>
  <si>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</si>
  <si>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</si>
  <si>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</si>
  <si>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</si>
  <si>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</si>
  <si>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</si>
  <si>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</si>
  <si>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</si>
  <si>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</si>
  <si>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</si>
  <si>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</si>
  <si>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</si>
  <si>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</si>
  <si>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</si>
  <si>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</si>
  <si>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</si>
  <si>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</si>
  <si>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</si>
  <si>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</si>
  <si>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</si>
  <si>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</si>
  <si>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</si>
  <si>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</si>
  <si>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</si>
  <si>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</si>
  <si>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</si>
  <si>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</si>
  <si>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</si>
  <si>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</si>
  <si>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</si>
  <si>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</si>
  <si>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</si>
  <si>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</si>
  <si>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</si>
  <si>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</si>
  <si>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</si>
  <si>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</si>
  <si>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</si>
  <si>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</si>
  <si>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</si>
  <si>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</si>
  <si>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</si>
  <si>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</si>
  <si>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</si>
  <si>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</si>
  <si>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</si>
  <si>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</si>
  <si>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</si>
  <si>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</si>
  <si>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</si>
  <si>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</si>
  <si>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</si>
  <si>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</si>
  <si>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</si>
  <si>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</si>
  <si>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</si>
  <si>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</si>
  <si>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</si>
  <si>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</si>
  <si>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</si>
  <si>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</si>
  <si>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</si>
  <si>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</si>
  <si>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</si>
  <si>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</si>
  <si>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</si>
  <si>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</si>
  <si>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</si>
  <si>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</si>
  <si>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</si>
  <si>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</si>
  <si>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</si>
  <si>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</si>
  <si>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</si>
  <si>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</si>
  <si>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</si>
  <si>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</si>
  <si>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</si>
  <si>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</si>
  <si>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</si>
  <si>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</si>
  <si>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</si>
  <si>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</si>
  <si>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</si>
  <si>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</si>
  <si>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</si>
  <si>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</si>
  <si>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</si>
  <si>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</si>
  <si>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</si>
  <si>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</si>
  <si>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</si>
  <si>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</si>
  <si>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</si>
  <si>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</si>
  <si>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</si>
  <si>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</si>
  <si>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</si>
  <si>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</si>
  <si>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</si>
  <si>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</si>
  <si>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</si>
  <si>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</si>
  <si>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</si>
  <si>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</si>
  <si>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</si>
  <si>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</si>
  <si>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</si>
  <si>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</si>
  <si>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</si>
  <si>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</si>
  <si>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</si>
  <si>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</si>
  <si>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</si>
  <si>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</si>
  <si>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</si>
  <si>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</si>
  <si>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</si>
  <si>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</si>
  <si>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</si>
  <si>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</si>
  <si>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</si>
  <si>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</si>
  <si>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</si>
  <si>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</si>
  <si>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</si>
  <si>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</si>
  <si>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</si>
  <si>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</si>
  <si>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</si>
  <si>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</si>
  <si>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</si>
  <si>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</si>
  <si>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</si>
  <si>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</si>
  <si>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</si>
  <si>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</si>
  <si>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</si>
  <si>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</si>
  <si>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</si>
  <si>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</si>
  <si>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</si>
  <si>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</si>
  <si>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</si>
  <si>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</si>
  <si>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</si>
  <si>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</si>
  <si>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</si>
  <si>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</si>
  <si>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</si>
  <si>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</si>
  <si>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</si>
  <si>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</si>
  <si>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</si>
  <si>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</si>
  <si>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</si>
  <si>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</si>
  <si>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</si>
  <si>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</si>
  <si>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</si>
  <si>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</si>
  <si>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</si>
  <si>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</si>
  <si>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</si>
  <si>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</si>
  <si>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</si>
  <si>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</si>
  <si>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</si>
  <si>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</si>
  <si>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</si>
  <si>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</si>
  <si>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</si>
  <si>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</si>
  <si>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</si>
  <si>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</si>
  <si>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</si>
  <si>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</si>
  <si>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</si>
  <si>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</si>
  <si>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</si>
  <si>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</si>
  <si>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</si>
  <si>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</si>
  <si>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</si>
  <si>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</si>
  <si>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</si>
  <si>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</si>
  <si>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</si>
  <si>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</si>
  <si>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</si>
  <si>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</si>
  <si>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</si>
  <si>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</si>
  <si>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</si>
  <si>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</si>
  <si>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</si>
  <si>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</si>
  <si>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</si>
  <si>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</si>
  <si>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</si>
  <si>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</si>
  <si>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</si>
  <si>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</si>
  <si>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</si>
  <si>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</si>
  <si>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</si>
  <si>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</si>
  <si>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</si>
  <si>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</si>
  <si>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</si>
  <si>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</si>
  <si>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</si>
  <si>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</si>
  <si>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</si>
  <si>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</si>
  <si>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</si>
  <si>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</si>
  <si>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</si>
  <si>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</si>
  <si>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</si>
  <si>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</si>
  <si>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</si>
  <si>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</si>
  <si>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</si>
  <si>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</si>
  <si>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</si>
  <si>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</si>
  <si>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</si>
  <si>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</si>
  <si>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</si>
  <si>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</si>
  <si>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</si>
  <si>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</si>
  <si>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</si>
  <si>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</si>
  <si>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</si>
  <si>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</si>
  <si>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</si>
  <si>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</si>
  <si>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</si>
  <si>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</si>
  <si>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</si>
  <si>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</si>
  <si>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</si>
  <si>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</si>
  <si>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</si>
  <si>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</si>
  <si>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</si>
  <si>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</si>
  <si>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</si>
  <si>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</si>
  <si>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</si>
  <si>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</si>
  <si>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</si>
  <si>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</si>
  <si>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</si>
  <si>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</si>
  <si>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</si>
  <si>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</si>
  <si>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</si>
  <si>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</si>
  <si>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</si>
  <si>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</si>
  <si>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</si>
  <si>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</si>
  <si>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</si>
  <si>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</si>
  <si>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</si>
  <si>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</si>
  <si>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</si>
  <si>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</si>
  <si>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</si>
  <si>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</si>
  <si>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</si>
  <si>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</si>
  <si>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</si>
  <si>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</si>
  <si>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</si>
  <si>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</si>
  <si>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</si>
  <si>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</si>
  <si>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</si>
  <si>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</si>
  <si>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</si>
  <si>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</si>
  <si>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</si>
  <si>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</si>
  <si>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</si>
  <si>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</si>
  <si>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</si>
  <si>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</si>
  <si>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</si>
  <si>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</si>
  <si>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</si>
  <si>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</si>
  <si>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</si>
  <si>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</si>
  <si>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</si>
  <si>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</si>
  <si>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</si>
  <si>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</si>
  <si>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</si>
  <si>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</si>
  <si>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</si>
  <si>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</si>
  <si>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</si>
  <si>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</si>
  <si>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</si>
  <si>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</si>
  <si>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</si>
  <si>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</si>
  <si>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</si>
  <si>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</si>
  <si>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</si>
  <si>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</si>
  <si>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</si>
  <si>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</si>
  <si>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</si>
  <si>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</si>
  <si>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</si>
  <si>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</si>
  <si>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</si>
  <si>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</si>
  <si>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</si>
  <si>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</si>
  <si>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</si>
  <si>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</si>
  <si>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</si>
  <si>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</si>
  <si>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</si>
  <si>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</si>
  <si>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</si>
  <si>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</si>
  <si>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</si>
  <si>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</si>
  <si>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</si>
  <si>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</si>
  <si>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</si>
  <si>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</si>
  <si>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</si>
  <si>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</si>
  <si>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</si>
  <si>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</si>
  <si>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</si>
  <si>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</si>
  <si>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</si>
  <si>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</si>
  <si>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</si>
  <si>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</si>
  <si>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</si>
  <si>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</si>
  <si>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</si>
  <si>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</si>
  <si>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</si>
  <si>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</si>
  <si>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</si>
  <si>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</si>
  <si>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</si>
  <si>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</si>
  <si>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</si>
  <si>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</si>
  <si>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</si>
  <si>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</si>
  <si>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</si>
  <si>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</si>
  <si>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</si>
  <si>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</si>
  <si>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</si>
  <si>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</si>
  <si>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</si>
  <si>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</si>
  <si>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</si>
  <si>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</si>
  <si>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</si>
  <si>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</si>
  <si>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</si>
  <si>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</si>
  <si>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</si>
  <si>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</si>
  <si>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</si>
  <si>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</si>
  <si>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</si>
  <si>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</si>
  <si>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</si>
  <si>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</si>
  <si>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</si>
  <si>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</si>
  <si>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</si>
  <si>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</si>
  <si>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</si>
  <si>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</si>
  <si>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</si>
  <si>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</si>
  <si>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</si>
  <si>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</si>
  <si>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</si>
  <si>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</si>
  <si>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</si>
  <si>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</si>
  <si>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</si>
  <si>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</si>
  <si>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</si>
  <si>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</si>
  <si>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</si>
  <si>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</si>
  <si>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</si>
  <si>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</si>
  <si>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</si>
  <si>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</si>
  <si>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</si>
  <si>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</si>
  <si>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</si>
  <si>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</si>
  <si>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</si>
  <si>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</si>
  <si>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</si>
  <si>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</si>
  <si>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</si>
  <si>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</si>
  <si>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</si>
  <si>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</si>
  <si>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</si>
  <si>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</si>
  <si>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</si>
  <si>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</si>
  <si>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</si>
  <si>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</si>
  <si>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</si>
  <si>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</si>
  <si>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</si>
  <si>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</si>
  <si>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</si>
  <si>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</si>
  <si>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</si>
  <si>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</si>
  <si>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</si>
  <si>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</si>
  <si>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</si>
  <si>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</si>
  <si>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</si>
  <si>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</si>
  <si>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</si>
  <si>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</si>
  <si>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</si>
  <si>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</si>
  <si>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</si>
  <si>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</si>
  <si>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</si>
  <si>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</si>
  <si>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</si>
  <si>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</si>
  <si>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</si>
  <si>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</si>
  <si>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</si>
  <si>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</si>
  <si>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</si>
  <si>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</si>
  <si>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</si>
  <si>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</si>
  <si>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</si>
  <si>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</si>
  <si>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</si>
  <si>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</si>
  <si>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</si>
  <si>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</si>
  <si>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</si>
  <si>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</si>
  <si>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</si>
  <si>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</si>
  <si>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</si>
  <si>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</si>
  <si>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</si>
  <si>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</si>
  <si>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</si>
  <si>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</si>
  <si>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</si>
  <si>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</si>
  <si>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</si>
  <si>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</si>
  <si>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</si>
  <si>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</si>
  <si>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</si>
  <si>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</si>
  <si>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</si>
  <si>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</si>
  <si>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</si>
  <si>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</si>
  <si>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</si>
  <si>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</si>
  <si>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</si>
  <si>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</si>
  <si>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</si>
  <si>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13012</t>
  </si>
  <si>
    <t>HERENTHOUT</t>
  </si>
  <si>
    <t>Fluvius</t>
  </si>
  <si>
    <t>referentietaak LNE (2017); Jaarverslag De Lijn</t>
  </si>
  <si>
    <t>Zonnige Kempen</t>
  </si>
  <si>
    <t>Grote Markt 39, 2260 Westerlo</t>
  </si>
  <si>
    <t>WKK-0079 Zonnige Kempen</t>
  </si>
  <si>
    <t>interne verbrandingsmotor</t>
  </si>
  <si>
    <t>WKK interne verbrandinsgmotor (gas)</t>
  </si>
  <si>
    <t>Grote Markt 39, 2270 Herenthout</t>
  </si>
  <si>
    <t>IVEKA</t>
  </si>
  <si>
    <t>Kris Ceulemans</t>
  </si>
  <si>
    <t>Binnenstraat 10a , 2270 Herenthout</t>
  </si>
  <si>
    <t>WKK-0205 Kris Ceulemans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</si>
</sst>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79695.718809862286</c:v>
                </c:pt>
                <c:pt idx="1">
                  <c:v>23176.999417555016</c:v>
                </c:pt>
                <c:pt idx="2">
                  <c:v>430.339</c:v>
                </c:pt>
                <c:pt idx="3">
                  <c:v>26642.691235594768</c:v>
                </c:pt>
                <c:pt idx="4">
                  <c:v>8407.8734146444749</c:v>
                </c:pt>
                <c:pt idx="5">
                  <c:v>41427.241238665927</c:v>
                </c:pt>
                <c:pt idx="6">
                  <c:v>455.60729885495459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79695.718809862286</c:v>
                </c:pt>
                <c:pt idx="1">
                  <c:v>23176.999417555016</c:v>
                </c:pt>
                <c:pt idx="2">
                  <c:v>430.339</c:v>
                </c:pt>
                <c:pt idx="3">
                  <c:v>26642.691235594768</c:v>
                </c:pt>
                <c:pt idx="4">
                  <c:v>8407.8734146444749</c:v>
                </c:pt>
                <c:pt idx="5">
                  <c:v>41427.241238665927</c:v>
                </c:pt>
                <c:pt idx="6">
                  <c:v>455.60729885495459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15994.061190137827</c:v>
                </c:pt>
                <c:pt idx="2">
                  <c:v>4635.9715598420817</c:v>
                </c:pt>
                <c:pt idx="3">
                  <c:v>89.883248994034815</c:v>
                </c:pt>
                <c:pt idx="4">
                  <c:v>6299.2625684716586</c:v>
                </c:pt>
                <c:pt idx="5">
                  <c:v>1753.3388236862029</c:v>
                </c:pt>
                <c:pt idx="6">
                  <c:v>10361.273894883092</c:v>
                </c:pt>
                <c:pt idx="7">
                  <c:v>114.82537093673714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15994.061190137827</c:v>
                </c:pt>
                <c:pt idx="2">
                  <c:v>4635.9715598420817</c:v>
                </c:pt>
                <c:pt idx="3">
                  <c:v>89.883248994034815</c:v>
                </c:pt>
                <c:pt idx="4">
                  <c:v>6299.2625684716586</c:v>
                </c:pt>
                <c:pt idx="5">
                  <c:v>1753.3388236862029</c:v>
                </c:pt>
                <c:pt idx="6">
                  <c:v>10361.273894883092</c:v>
                </c:pt>
                <c:pt idx="7">
                  <c:v>114.82537093673714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13012</v>
      </c>
      <c r="B6" s="384"/>
      <c r="C6" s="385"/>
    </row>
    <row r="7" spans="1:7" s="382" customFormat="1" ht="15.75" customHeight="1">
      <c r="A7" s="386" t="str">
        <f>txtMunicipality</f>
        <v>HERENTHOUT</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9328.3171643909009</v>
      </c>
      <c r="D10" s="973">
        <f ca="1">tertiair!C16</f>
        <v>35.357142857142861</v>
      </c>
      <c r="E10" s="973">
        <f ca="1">tertiair!D16</f>
        <v>11393.610100724869</v>
      </c>
      <c r="F10" s="973">
        <f>tertiair!E16</f>
        <v>162.18678967285575</v>
      </c>
      <c r="G10" s="973">
        <f ca="1">tertiair!F16</f>
        <v>1613.2867545283175</v>
      </c>
      <c r="H10" s="973">
        <f>tertiair!G16</f>
        <v>0</v>
      </c>
      <c r="I10" s="973">
        <f>tertiair!H16</f>
        <v>0</v>
      </c>
      <c r="J10" s="973">
        <f>tertiair!I16</f>
        <v>0</v>
      </c>
      <c r="K10" s="973">
        <f>tertiair!J16</f>
        <v>2.6596535468873465E-2</v>
      </c>
      <c r="L10" s="973">
        <f>tertiair!K16</f>
        <v>0</v>
      </c>
      <c r="M10" s="973">
        <f ca="1">tertiair!L16</f>
        <v>0</v>
      </c>
      <c r="N10" s="973">
        <f>tertiair!M16</f>
        <v>0</v>
      </c>
      <c r="O10" s="973">
        <f ca="1">tertiair!N16</f>
        <v>1052.3605355121279</v>
      </c>
      <c r="P10" s="973">
        <f>tertiair!O16</f>
        <v>3.1266666666666669</v>
      </c>
      <c r="Q10" s="974">
        <f>tertiair!P16</f>
        <v>19.066666666666666</v>
      </c>
      <c r="R10" s="668">
        <f ca="1">SUM(C10:Q10)</f>
        <v>23607.338417555016</v>
      </c>
      <c r="S10" s="67"/>
    </row>
    <row r="11" spans="1:19" s="441" customFormat="1">
      <c r="A11" s="777" t="s">
        <v>219</v>
      </c>
      <c r="B11" s="782"/>
      <c r="C11" s="973">
        <f>huishoudens!B8</f>
        <v>14850.974133009438</v>
      </c>
      <c r="D11" s="973">
        <f>huishoudens!C8</f>
        <v>0</v>
      </c>
      <c r="E11" s="973">
        <f>huishoudens!D8</f>
        <v>44457.183405048439</v>
      </c>
      <c r="F11" s="973">
        <f>huishoudens!E8</f>
        <v>556.07519926407178</v>
      </c>
      <c r="G11" s="973">
        <f>huishoudens!F8</f>
        <v>14088.452931689819</v>
      </c>
      <c r="H11" s="973">
        <f>huishoudens!G8</f>
        <v>0</v>
      </c>
      <c r="I11" s="973">
        <f>huishoudens!H8</f>
        <v>0</v>
      </c>
      <c r="J11" s="973">
        <f>huishoudens!I8</f>
        <v>0</v>
      </c>
      <c r="K11" s="973">
        <f>huishoudens!J8</f>
        <v>67.792054906814556</v>
      </c>
      <c r="L11" s="973">
        <f>huishoudens!K8</f>
        <v>0</v>
      </c>
      <c r="M11" s="973">
        <f>huishoudens!L8</f>
        <v>0</v>
      </c>
      <c r="N11" s="973">
        <f>huishoudens!M8</f>
        <v>0</v>
      </c>
      <c r="O11" s="973">
        <f>huishoudens!N8</f>
        <v>5171.9677526103778</v>
      </c>
      <c r="P11" s="973">
        <f>huishoudens!O8</f>
        <v>121.94000000000001</v>
      </c>
      <c r="Q11" s="974">
        <f>huishoudens!P8</f>
        <v>381.33333333333337</v>
      </c>
      <c r="R11" s="668">
        <f>SUM(C11:Q11)</f>
        <v>79695.718809862286</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4441.3966594809281</v>
      </c>
      <c r="D13" s="973">
        <f>industrie!C18</f>
        <v>0</v>
      </c>
      <c r="E13" s="973">
        <f>industrie!D18</f>
        <v>2141.4313736803792</v>
      </c>
      <c r="F13" s="973">
        <f>industrie!E18</f>
        <v>352.52517886842054</v>
      </c>
      <c r="G13" s="973">
        <f>industrie!F18</f>
        <v>1157.0190634420464</v>
      </c>
      <c r="H13" s="973">
        <f>industrie!G18</f>
        <v>0</v>
      </c>
      <c r="I13" s="973">
        <f>industrie!H18</f>
        <v>0</v>
      </c>
      <c r="J13" s="973">
        <f>industrie!I18</f>
        <v>0</v>
      </c>
      <c r="K13" s="973">
        <f>industrie!J18</f>
        <v>11.765456052999452</v>
      </c>
      <c r="L13" s="973">
        <f>industrie!K18</f>
        <v>0</v>
      </c>
      <c r="M13" s="973">
        <f>industrie!L18</f>
        <v>0</v>
      </c>
      <c r="N13" s="973">
        <f>industrie!M18</f>
        <v>0</v>
      </c>
      <c r="O13" s="973">
        <f>industrie!N18</f>
        <v>303.73568311970149</v>
      </c>
      <c r="P13" s="973">
        <f>industrie!O18</f>
        <v>0</v>
      </c>
      <c r="Q13" s="974">
        <f>industrie!P18</f>
        <v>0</v>
      </c>
      <c r="R13" s="668">
        <f>SUM(C13:Q13)</f>
        <v>8407.8734146444749</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28620.687956881269</v>
      </c>
      <c r="D16" s="700">
        <f t="shared" ref="D16:R16" ca="1" si="0">SUM(D9:D15)</f>
        <v>35.357142857142861</v>
      </c>
      <c r="E16" s="700">
        <f t="shared" ca="1" si="0"/>
        <v>57992.224879453694</v>
      </c>
      <c r="F16" s="700">
        <f t="shared" si="0"/>
        <v>1070.787167805348</v>
      </c>
      <c r="G16" s="700">
        <f t="shared" ca="1" si="0"/>
        <v>16858.758749660181</v>
      </c>
      <c r="H16" s="700">
        <f t="shared" si="0"/>
        <v>0</v>
      </c>
      <c r="I16" s="700">
        <f t="shared" si="0"/>
        <v>0</v>
      </c>
      <c r="J16" s="700">
        <f t="shared" si="0"/>
        <v>0</v>
      </c>
      <c r="K16" s="700">
        <f t="shared" si="0"/>
        <v>79.584107495282879</v>
      </c>
      <c r="L16" s="700">
        <f t="shared" si="0"/>
        <v>0</v>
      </c>
      <c r="M16" s="700">
        <f t="shared" ca="1" si="0"/>
        <v>0</v>
      </c>
      <c r="N16" s="700">
        <f t="shared" si="0"/>
        <v>0</v>
      </c>
      <c r="O16" s="700">
        <f t="shared" ca="1" si="0"/>
        <v>6528.0639712422071</v>
      </c>
      <c r="P16" s="700">
        <f t="shared" si="0"/>
        <v>125.06666666666668</v>
      </c>
      <c r="Q16" s="700">
        <f t="shared" si="0"/>
        <v>400.40000000000003</v>
      </c>
      <c r="R16" s="700">
        <f t="shared" ca="1" si="0"/>
        <v>111710.93064206178</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4.5401913576422421</v>
      </c>
      <c r="D19" s="973">
        <f>transport!C54</f>
        <v>0</v>
      </c>
      <c r="E19" s="973">
        <f>transport!D54</f>
        <v>0</v>
      </c>
      <c r="F19" s="973">
        <f>transport!E54</f>
        <v>0</v>
      </c>
      <c r="G19" s="973">
        <f>transport!F54</f>
        <v>0</v>
      </c>
      <c r="H19" s="973">
        <f>transport!G54</f>
        <v>426.50591258252257</v>
      </c>
      <c r="I19" s="973">
        <f>transport!H54</f>
        <v>0</v>
      </c>
      <c r="J19" s="973">
        <f>transport!I54</f>
        <v>0</v>
      </c>
      <c r="K19" s="973">
        <f>transport!J54</f>
        <v>0</v>
      </c>
      <c r="L19" s="973">
        <f>transport!K54</f>
        <v>0</v>
      </c>
      <c r="M19" s="973">
        <f>transport!L54</f>
        <v>0</v>
      </c>
      <c r="N19" s="973">
        <f>transport!M54</f>
        <v>24.561194914789773</v>
      </c>
      <c r="O19" s="973">
        <f>transport!N54</f>
        <v>0</v>
      </c>
      <c r="P19" s="973">
        <f>transport!O54</f>
        <v>0</v>
      </c>
      <c r="Q19" s="974">
        <f>transport!P54</f>
        <v>0</v>
      </c>
      <c r="R19" s="668">
        <f>SUM(C19:Q19)</f>
        <v>455.60729885495459</v>
      </c>
      <c r="S19" s="67"/>
    </row>
    <row r="20" spans="1:19" s="441" customFormat="1">
      <c r="A20" s="777" t="s">
        <v>301</v>
      </c>
      <c r="B20" s="782"/>
      <c r="C20" s="973">
        <f>transport!B14</f>
        <v>27.543936413290723</v>
      </c>
      <c r="D20" s="973">
        <f>transport!C14</f>
        <v>0</v>
      </c>
      <c r="E20" s="973">
        <f>transport!D14</f>
        <v>48.563477003339486</v>
      </c>
      <c r="F20" s="973">
        <f>transport!E14</f>
        <v>84.626067837236576</v>
      </c>
      <c r="G20" s="973">
        <f>transport!F14</f>
        <v>0</v>
      </c>
      <c r="H20" s="973">
        <f>transport!G14</f>
        <v>31394.679943017109</v>
      </c>
      <c r="I20" s="973">
        <f>transport!H14</f>
        <v>7807.7165239425121</v>
      </c>
      <c r="J20" s="973">
        <f>transport!I14</f>
        <v>0</v>
      </c>
      <c r="K20" s="973">
        <f>transport!J14</f>
        <v>0</v>
      </c>
      <c r="L20" s="973">
        <f>transport!K14</f>
        <v>0</v>
      </c>
      <c r="M20" s="973">
        <f>transport!L14</f>
        <v>0</v>
      </c>
      <c r="N20" s="973">
        <f>transport!M14</f>
        <v>2064.1112904524325</v>
      </c>
      <c r="O20" s="973">
        <f>transport!N14</f>
        <v>0</v>
      </c>
      <c r="P20" s="973">
        <f>transport!O14</f>
        <v>0</v>
      </c>
      <c r="Q20" s="974">
        <f>transport!P14</f>
        <v>0</v>
      </c>
      <c r="R20" s="668">
        <f>SUM(C20:Q20)</f>
        <v>41427.241238665927</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32.084127770932966</v>
      </c>
      <c r="D22" s="780">
        <f t="shared" ref="D22:R22" si="1">SUM(D18:D21)</f>
        <v>0</v>
      </c>
      <c r="E22" s="780">
        <f t="shared" si="1"/>
        <v>48.563477003339486</v>
      </c>
      <c r="F22" s="780">
        <f t="shared" si="1"/>
        <v>84.626067837236576</v>
      </c>
      <c r="G22" s="780">
        <f t="shared" si="1"/>
        <v>0</v>
      </c>
      <c r="H22" s="780">
        <f t="shared" si="1"/>
        <v>31821.18585559963</v>
      </c>
      <c r="I22" s="780">
        <f t="shared" si="1"/>
        <v>7807.7165239425121</v>
      </c>
      <c r="J22" s="780">
        <f t="shared" si="1"/>
        <v>0</v>
      </c>
      <c r="K22" s="780">
        <f t="shared" si="1"/>
        <v>0</v>
      </c>
      <c r="L22" s="780">
        <f t="shared" si="1"/>
        <v>0</v>
      </c>
      <c r="M22" s="780">
        <f t="shared" si="1"/>
        <v>0</v>
      </c>
      <c r="N22" s="780">
        <f t="shared" si="1"/>
        <v>2088.6724853672222</v>
      </c>
      <c r="O22" s="780">
        <f t="shared" si="1"/>
        <v>0</v>
      </c>
      <c r="P22" s="780">
        <f t="shared" si="1"/>
        <v>0</v>
      </c>
      <c r="Q22" s="780">
        <f t="shared" si="1"/>
        <v>0</v>
      </c>
      <c r="R22" s="780">
        <f t="shared" si="1"/>
        <v>41882.848537520884</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1517.635557825241</v>
      </c>
      <c r="D24" s="973">
        <f>+landbouw!C8</f>
        <v>12947.142857142855</v>
      </c>
      <c r="E24" s="973">
        <f>+landbouw!D8</f>
        <v>5591.0443502771122</v>
      </c>
      <c r="F24" s="973">
        <f>+landbouw!E8</f>
        <v>44.607944438501555</v>
      </c>
      <c r="G24" s="973">
        <f>+landbouw!F8</f>
        <v>6322.3877251788554</v>
      </c>
      <c r="H24" s="973">
        <f>+landbouw!G8</f>
        <v>0</v>
      </c>
      <c r="I24" s="973">
        <f>+landbouw!H8</f>
        <v>0</v>
      </c>
      <c r="J24" s="973">
        <f>+landbouw!I8</f>
        <v>0</v>
      </c>
      <c r="K24" s="973">
        <f>+landbouw!J8</f>
        <v>219.87280073220077</v>
      </c>
      <c r="L24" s="973">
        <f>+landbouw!K8</f>
        <v>0</v>
      </c>
      <c r="M24" s="973">
        <f>+landbouw!L8</f>
        <v>0</v>
      </c>
      <c r="N24" s="973">
        <f>+landbouw!M8</f>
        <v>0</v>
      </c>
      <c r="O24" s="973">
        <f>+landbouw!N8</f>
        <v>0</v>
      </c>
      <c r="P24" s="973">
        <f>+landbouw!O8</f>
        <v>0</v>
      </c>
      <c r="Q24" s="974">
        <f>+landbouw!P8</f>
        <v>0</v>
      </c>
      <c r="R24" s="668">
        <f>SUM(C24:Q24)</f>
        <v>26642.691235594768</v>
      </c>
      <c r="S24" s="67"/>
    </row>
    <row r="25" spans="1:19" s="441" customFormat="1" ht="15" thickBot="1">
      <c r="A25" s="799" t="s">
        <v>808</v>
      </c>
      <c r="B25" s="976"/>
      <c r="C25" s="977">
        <f>IF(Onbekend_ele_kWh="---",0,Onbekend_ele_kWh)/1000+IF(REST_rest_ele_kWh="---",0,REST_rest_ele_kWh)/1000</f>
        <v>438.78759122345798</v>
      </c>
      <c r="D25" s="977"/>
      <c r="E25" s="977">
        <f>IF(onbekend_gas_kWh="---",0,onbekend_gas_kWh)/1000+IF(REST_rest_gas_kWh="---",0,REST_rest_gas_kWh)/1000</f>
        <v>1296.20334450019</v>
      </c>
      <c r="F25" s="977"/>
      <c r="G25" s="977"/>
      <c r="H25" s="977"/>
      <c r="I25" s="977"/>
      <c r="J25" s="977"/>
      <c r="K25" s="977"/>
      <c r="L25" s="977"/>
      <c r="M25" s="977"/>
      <c r="N25" s="977"/>
      <c r="O25" s="977"/>
      <c r="P25" s="977"/>
      <c r="Q25" s="978"/>
      <c r="R25" s="668">
        <f>SUM(C25:Q25)</f>
        <v>1734.9909357236479</v>
      </c>
      <c r="S25" s="67"/>
    </row>
    <row r="26" spans="1:19" s="441" customFormat="1" ht="15.75" thickBot="1">
      <c r="A26" s="673" t="s">
        <v>809</v>
      </c>
      <c r="B26" s="785"/>
      <c r="C26" s="780">
        <f>SUM(C24:C25)</f>
        <v>1956.4231490486991</v>
      </c>
      <c r="D26" s="780">
        <f t="shared" ref="D26:R26" si="2">SUM(D24:D25)</f>
        <v>12947.142857142855</v>
      </c>
      <c r="E26" s="780">
        <f t="shared" si="2"/>
        <v>6887.2476947773021</v>
      </c>
      <c r="F26" s="780">
        <f t="shared" si="2"/>
        <v>44.607944438501555</v>
      </c>
      <c r="G26" s="780">
        <f t="shared" si="2"/>
        <v>6322.3877251788554</v>
      </c>
      <c r="H26" s="780">
        <f t="shared" si="2"/>
        <v>0</v>
      </c>
      <c r="I26" s="780">
        <f t="shared" si="2"/>
        <v>0</v>
      </c>
      <c r="J26" s="780">
        <f t="shared" si="2"/>
        <v>0</v>
      </c>
      <c r="K26" s="780">
        <f t="shared" si="2"/>
        <v>219.87280073220077</v>
      </c>
      <c r="L26" s="780">
        <f t="shared" si="2"/>
        <v>0</v>
      </c>
      <c r="M26" s="780">
        <f t="shared" si="2"/>
        <v>0</v>
      </c>
      <c r="N26" s="780">
        <f t="shared" si="2"/>
        <v>0</v>
      </c>
      <c r="O26" s="780">
        <f t="shared" si="2"/>
        <v>0</v>
      </c>
      <c r="P26" s="780">
        <f t="shared" si="2"/>
        <v>0</v>
      </c>
      <c r="Q26" s="780">
        <f t="shared" si="2"/>
        <v>0</v>
      </c>
      <c r="R26" s="780">
        <f t="shared" si="2"/>
        <v>28377.682171318414</v>
      </c>
      <c r="S26" s="67"/>
    </row>
    <row r="27" spans="1:19" s="441" customFormat="1" ht="17.25" thickTop="1" thickBot="1">
      <c r="A27" s="674" t="s">
        <v>115</v>
      </c>
      <c r="B27" s="773"/>
      <c r="C27" s="675">
        <f ca="1">C22+C16+C26</f>
        <v>30609.195233700902</v>
      </c>
      <c r="D27" s="675">
        <f t="shared" ref="D27:R27" ca="1" si="3">D22+D16+D26</f>
        <v>12982.499999999998</v>
      </c>
      <c r="E27" s="675">
        <f t="shared" ca="1" si="3"/>
        <v>64928.03605123434</v>
      </c>
      <c r="F27" s="675">
        <f t="shared" si="3"/>
        <v>1200.0211800810862</v>
      </c>
      <c r="G27" s="675">
        <f t="shared" ca="1" si="3"/>
        <v>23181.146474839035</v>
      </c>
      <c r="H27" s="675">
        <f t="shared" si="3"/>
        <v>31821.18585559963</v>
      </c>
      <c r="I27" s="675">
        <f t="shared" si="3"/>
        <v>7807.7165239425121</v>
      </c>
      <c r="J27" s="675">
        <f t="shared" si="3"/>
        <v>0</v>
      </c>
      <c r="K27" s="675">
        <f t="shared" si="3"/>
        <v>299.45690822748367</v>
      </c>
      <c r="L27" s="675">
        <f t="shared" si="3"/>
        <v>0</v>
      </c>
      <c r="M27" s="675">
        <f t="shared" ca="1" si="3"/>
        <v>0</v>
      </c>
      <c r="N27" s="675">
        <f t="shared" si="3"/>
        <v>2088.6724853672222</v>
      </c>
      <c r="O27" s="675">
        <f t="shared" ca="1" si="3"/>
        <v>6528.0639712422071</v>
      </c>
      <c r="P27" s="675">
        <f t="shared" si="3"/>
        <v>125.06666666666668</v>
      </c>
      <c r="Q27" s="675">
        <f t="shared" si="3"/>
        <v>400.40000000000003</v>
      </c>
      <c r="R27" s="675">
        <f t="shared" ca="1" si="3"/>
        <v>181971.46135090108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1948.3696675929352</v>
      </c>
      <c r="D40" s="973">
        <f ca="1">tertiair!C20</f>
        <v>8.4025210084033635</v>
      </c>
      <c r="E40" s="973">
        <f ca="1">tertiair!D20</f>
        <v>2301.5092403464237</v>
      </c>
      <c r="F40" s="973">
        <f>tertiair!E20</f>
        <v>36.816401255738256</v>
      </c>
      <c r="G40" s="973">
        <f ca="1">tertiair!F20</f>
        <v>430.74756345906081</v>
      </c>
      <c r="H40" s="973">
        <f>tertiair!G20</f>
        <v>0</v>
      </c>
      <c r="I40" s="973">
        <f>tertiair!H20</f>
        <v>0</v>
      </c>
      <c r="J40" s="973">
        <f>tertiair!I20</f>
        <v>0</v>
      </c>
      <c r="K40" s="973">
        <f>tertiair!J20</f>
        <v>9.4151735559812062E-3</v>
      </c>
      <c r="L40" s="973">
        <f>tertiair!K20</f>
        <v>0</v>
      </c>
      <c r="M40" s="973">
        <f ca="1">tertiair!L20</f>
        <v>0</v>
      </c>
      <c r="N40" s="973">
        <f>tertiair!M20</f>
        <v>0</v>
      </c>
      <c r="O40" s="973">
        <f ca="1">tertiair!N20</f>
        <v>0</v>
      </c>
      <c r="P40" s="973">
        <f>tertiair!O20</f>
        <v>0</v>
      </c>
      <c r="Q40" s="742">
        <f>tertiair!P20</f>
        <v>0</v>
      </c>
      <c r="R40" s="818">
        <f t="shared" ca="1" si="4"/>
        <v>4725.8548088361167</v>
      </c>
    </row>
    <row r="41" spans="1:18">
      <c r="A41" s="790" t="s">
        <v>219</v>
      </c>
      <c r="B41" s="797"/>
      <c r="C41" s="973">
        <f ca="1">huishoudens!B12</f>
        <v>3101.8657518869027</v>
      </c>
      <c r="D41" s="973">
        <f ca="1">huishoudens!C12</f>
        <v>0</v>
      </c>
      <c r="E41" s="973">
        <f>huishoudens!D12</f>
        <v>8980.3510478197859</v>
      </c>
      <c r="F41" s="973">
        <f>huishoudens!E12</f>
        <v>126.2290702329443</v>
      </c>
      <c r="G41" s="973">
        <f>huishoudens!F12</f>
        <v>3761.6169327611819</v>
      </c>
      <c r="H41" s="973">
        <f>huishoudens!G12</f>
        <v>0</v>
      </c>
      <c r="I41" s="973">
        <f>huishoudens!H12</f>
        <v>0</v>
      </c>
      <c r="J41" s="973">
        <f>huishoudens!I12</f>
        <v>0</v>
      </c>
      <c r="K41" s="973">
        <f>huishoudens!J12</f>
        <v>23.998387437012351</v>
      </c>
      <c r="L41" s="973">
        <f>huishoudens!K12</f>
        <v>0</v>
      </c>
      <c r="M41" s="973">
        <f>huishoudens!L12</f>
        <v>0</v>
      </c>
      <c r="N41" s="973">
        <f>huishoudens!M12</f>
        <v>0</v>
      </c>
      <c r="O41" s="973">
        <f>huishoudens!N12</f>
        <v>0</v>
      </c>
      <c r="P41" s="973">
        <f>huishoudens!O12</f>
        <v>0</v>
      </c>
      <c r="Q41" s="742">
        <f>huishoudens!P12</f>
        <v>0</v>
      </c>
      <c r="R41" s="818">
        <f t="shared" ca="1" si="4"/>
        <v>15994.061190137827</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927.65740921784629</v>
      </c>
      <c r="D43" s="973">
        <f ca="1">industrie!C22</f>
        <v>0</v>
      </c>
      <c r="E43" s="973">
        <f>industrie!D22</f>
        <v>432.56913748343663</v>
      </c>
      <c r="F43" s="973">
        <f>industrie!E22</f>
        <v>80.023215603131462</v>
      </c>
      <c r="G43" s="973">
        <f>industrie!F22</f>
        <v>308.92408993902643</v>
      </c>
      <c r="H43" s="973">
        <f>industrie!G22</f>
        <v>0</v>
      </c>
      <c r="I43" s="973">
        <f>industrie!H22</f>
        <v>0</v>
      </c>
      <c r="J43" s="973">
        <f>industrie!I22</f>
        <v>0</v>
      </c>
      <c r="K43" s="973">
        <f>industrie!J22</f>
        <v>4.1649714427618063</v>
      </c>
      <c r="L43" s="973">
        <f>industrie!K22</f>
        <v>0</v>
      </c>
      <c r="M43" s="973">
        <f>industrie!L22</f>
        <v>0</v>
      </c>
      <c r="N43" s="973">
        <f>industrie!M22</f>
        <v>0</v>
      </c>
      <c r="O43" s="973">
        <f>industrie!N22</f>
        <v>0</v>
      </c>
      <c r="P43" s="973">
        <f>industrie!O22</f>
        <v>0</v>
      </c>
      <c r="Q43" s="742">
        <f>industrie!P22</f>
        <v>0</v>
      </c>
      <c r="R43" s="817">
        <f t="shared" ca="1" si="4"/>
        <v>1753.3388236862029</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5977.8928286976843</v>
      </c>
      <c r="D46" s="700">
        <f t="shared" ref="D46:Q46" ca="1" si="5">SUM(D39:D45)</f>
        <v>8.4025210084033635</v>
      </c>
      <c r="E46" s="700">
        <f t="shared" ca="1" si="5"/>
        <v>11714.429425649647</v>
      </c>
      <c r="F46" s="700">
        <f t="shared" si="5"/>
        <v>243.06868709181401</v>
      </c>
      <c r="G46" s="700">
        <f t="shared" ca="1" si="5"/>
        <v>4501.2885861592686</v>
      </c>
      <c r="H46" s="700">
        <f t="shared" si="5"/>
        <v>0</v>
      </c>
      <c r="I46" s="700">
        <f t="shared" si="5"/>
        <v>0</v>
      </c>
      <c r="J46" s="700">
        <f t="shared" si="5"/>
        <v>0</v>
      </c>
      <c r="K46" s="700">
        <f t="shared" si="5"/>
        <v>28.172774053330141</v>
      </c>
      <c r="L46" s="700">
        <f t="shared" si="5"/>
        <v>0</v>
      </c>
      <c r="M46" s="700">
        <f t="shared" ca="1" si="5"/>
        <v>0</v>
      </c>
      <c r="N46" s="700">
        <f t="shared" si="5"/>
        <v>0</v>
      </c>
      <c r="O46" s="700">
        <f t="shared" ca="1" si="5"/>
        <v>0</v>
      </c>
      <c r="P46" s="700">
        <f t="shared" si="5"/>
        <v>0</v>
      </c>
      <c r="Q46" s="700">
        <f t="shared" si="5"/>
        <v>0</v>
      </c>
      <c r="R46" s="700">
        <f ca="1">SUM(R39:R45)</f>
        <v>22473.254822660143</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0.94829227720360609</v>
      </c>
      <c r="D49" s="973">
        <f ca="1">transport!C58</f>
        <v>0</v>
      </c>
      <c r="E49" s="973">
        <f>transport!D58</f>
        <v>0</v>
      </c>
      <c r="F49" s="973">
        <f>transport!E58</f>
        <v>0</v>
      </c>
      <c r="G49" s="973">
        <f>transport!F58</f>
        <v>0</v>
      </c>
      <c r="H49" s="973">
        <f>transport!G58</f>
        <v>113.87707865953354</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114.82537093673714</v>
      </c>
    </row>
    <row r="50" spans="1:18">
      <c r="A50" s="793" t="s">
        <v>301</v>
      </c>
      <c r="B50" s="803"/>
      <c r="C50" s="671">
        <f ca="1">transport!B18</f>
        <v>5.7529958821107829</v>
      </c>
      <c r="D50" s="671">
        <f>transport!C18</f>
        <v>0</v>
      </c>
      <c r="E50" s="671">
        <f>transport!D18</f>
        <v>9.8098223546745764</v>
      </c>
      <c r="F50" s="671">
        <f>transport!E18</f>
        <v>19.210117399052702</v>
      </c>
      <c r="G50" s="671">
        <f>transport!F18</f>
        <v>0</v>
      </c>
      <c r="H50" s="671">
        <f>transport!G18</f>
        <v>8382.3795447855682</v>
      </c>
      <c r="I50" s="671">
        <f>transport!H18</f>
        <v>1944.1214144616856</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10361.273894883092</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6.7012881593143891</v>
      </c>
      <c r="D52" s="700">
        <f t="shared" ref="D52:Q52" ca="1" si="6">SUM(D48:D51)</f>
        <v>0</v>
      </c>
      <c r="E52" s="700">
        <f t="shared" si="6"/>
        <v>9.8098223546745764</v>
      </c>
      <c r="F52" s="700">
        <f t="shared" si="6"/>
        <v>19.210117399052702</v>
      </c>
      <c r="G52" s="700">
        <f t="shared" si="6"/>
        <v>0</v>
      </c>
      <c r="H52" s="700">
        <f t="shared" si="6"/>
        <v>8496.2566234451024</v>
      </c>
      <c r="I52" s="700">
        <f t="shared" si="6"/>
        <v>1944.1214144616856</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10476.099265819828</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316.98269207812228</v>
      </c>
      <c r="D54" s="671">
        <f ca="1">+landbouw!C12</f>
        <v>3076.8504201680671</v>
      </c>
      <c r="E54" s="671">
        <f>+landbouw!D12</f>
        <v>1129.3909587559767</v>
      </c>
      <c r="F54" s="671">
        <f>+landbouw!E12</f>
        <v>10.126003387539853</v>
      </c>
      <c r="G54" s="671">
        <f>+landbouw!F12</f>
        <v>1688.0775226227545</v>
      </c>
      <c r="H54" s="671">
        <f>+landbouw!G12</f>
        <v>0</v>
      </c>
      <c r="I54" s="671">
        <f>+landbouw!H12</f>
        <v>0</v>
      </c>
      <c r="J54" s="671">
        <f>+landbouw!I12</f>
        <v>0</v>
      </c>
      <c r="K54" s="671">
        <f>+landbouw!J12</f>
        <v>77.834971459199068</v>
      </c>
      <c r="L54" s="671">
        <f>+landbouw!K12</f>
        <v>0</v>
      </c>
      <c r="M54" s="671">
        <f>+landbouw!L12</f>
        <v>0</v>
      </c>
      <c r="N54" s="671">
        <f>+landbouw!M12</f>
        <v>0</v>
      </c>
      <c r="O54" s="671">
        <f>+landbouw!N12</f>
        <v>0</v>
      </c>
      <c r="P54" s="671">
        <f>+landbouw!O12</f>
        <v>0</v>
      </c>
      <c r="Q54" s="672">
        <f>+landbouw!P12</f>
        <v>0</v>
      </c>
      <c r="R54" s="699">
        <f ca="1">SUM(C54:Q54)</f>
        <v>6299.2625684716586</v>
      </c>
    </row>
    <row r="55" spans="1:18" ht="15" thickBot="1">
      <c r="A55" s="793" t="s">
        <v>808</v>
      </c>
      <c r="B55" s="803"/>
      <c r="C55" s="671">
        <f ca="1">C25*'EF ele_warmte'!B12</f>
        <v>91.647873693601653</v>
      </c>
      <c r="D55" s="671"/>
      <c r="E55" s="671">
        <f>E25*EF_CO2_aardgas</f>
        <v>261.8330755890384</v>
      </c>
      <c r="F55" s="671"/>
      <c r="G55" s="671"/>
      <c r="H55" s="671"/>
      <c r="I55" s="671"/>
      <c r="J55" s="671"/>
      <c r="K55" s="671"/>
      <c r="L55" s="671"/>
      <c r="M55" s="671"/>
      <c r="N55" s="671"/>
      <c r="O55" s="671"/>
      <c r="P55" s="671"/>
      <c r="Q55" s="672"/>
      <c r="R55" s="699">
        <f ca="1">SUM(C55:Q55)</f>
        <v>353.48094928264004</v>
      </c>
    </row>
    <row r="56" spans="1:18" ht="15.75" thickBot="1">
      <c r="A56" s="791" t="s">
        <v>809</v>
      </c>
      <c r="B56" s="804"/>
      <c r="C56" s="700">
        <f ca="1">SUM(C54:C55)</f>
        <v>408.63056577172392</v>
      </c>
      <c r="D56" s="700">
        <f t="shared" ref="D56:Q56" ca="1" si="7">SUM(D54:D55)</f>
        <v>3076.8504201680671</v>
      </c>
      <c r="E56" s="700">
        <f t="shared" si="7"/>
        <v>1391.2240343450151</v>
      </c>
      <c r="F56" s="700">
        <f t="shared" si="7"/>
        <v>10.126003387539853</v>
      </c>
      <c r="G56" s="700">
        <f t="shared" si="7"/>
        <v>1688.0775226227545</v>
      </c>
      <c r="H56" s="700">
        <f t="shared" si="7"/>
        <v>0</v>
      </c>
      <c r="I56" s="700">
        <f t="shared" si="7"/>
        <v>0</v>
      </c>
      <c r="J56" s="700">
        <f t="shared" si="7"/>
        <v>0</v>
      </c>
      <c r="K56" s="700">
        <f t="shared" si="7"/>
        <v>77.834971459199068</v>
      </c>
      <c r="L56" s="700">
        <f t="shared" si="7"/>
        <v>0</v>
      </c>
      <c r="M56" s="700">
        <f t="shared" si="7"/>
        <v>0</v>
      </c>
      <c r="N56" s="700">
        <f t="shared" si="7"/>
        <v>0</v>
      </c>
      <c r="O56" s="700">
        <f t="shared" si="7"/>
        <v>0</v>
      </c>
      <c r="P56" s="700">
        <f t="shared" si="7"/>
        <v>0</v>
      </c>
      <c r="Q56" s="701">
        <f t="shared" si="7"/>
        <v>0</v>
      </c>
      <c r="R56" s="702">
        <f ca="1">SUM(R54:R55)</f>
        <v>6652.7435177542984</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6393.2246826287228</v>
      </c>
      <c r="D61" s="708">
        <f t="shared" ref="D61:Q61" ca="1" si="8">D46+D52+D56</f>
        <v>3085.2529411764704</v>
      </c>
      <c r="E61" s="708">
        <f t="shared" ca="1" si="8"/>
        <v>13115.463282349338</v>
      </c>
      <c r="F61" s="708">
        <f t="shared" si="8"/>
        <v>272.40480787840659</v>
      </c>
      <c r="G61" s="708">
        <f t="shared" ca="1" si="8"/>
        <v>6189.3661087820228</v>
      </c>
      <c r="H61" s="708">
        <f t="shared" si="8"/>
        <v>8496.2566234451024</v>
      </c>
      <c r="I61" s="708">
        <f t="shared" si="8"/>
        <v>1944.1214144616856</v>
      </c>
      <c r="J61" s="708">
        <f t="shared" si="8"/>
        <v>0</v>
      </c>
      <c r="K61" s="708">
        <f t="shared" si="8"/>
        <v>106.00774551252921</v>
      </c>
      <c r="L61" s="708">
        <f t="shared" si="8"/>
        <v>0</v>
      </c>
      <c r="M61" s="708">
        <f t="shared" ca="1" si="8"/>
        <v>0</v>
      </c>
      <c r="N61" s="708">
        <f t="shared" si="8"/>
        <v>0</v>
      </c>
      <c r="O61" s="708">
        <f t="shared" ca="1" si="8"/>
        <v>0</v>
      </c>
      <c r="P61" s="708">
        <f t="shared" si="8"/>
        <v>0</v>
      </c>
      <c r="Q61" s="708">
        <f t="shared" si="8"/>
        <v>0</v>
      </c>
      <c r="R61" s="708">
        <f ca="1">R46+R52+R56</f>
        <v>39602.097606234274</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0.20886614737226888</v>
      </c>
      <c r="D63" s="749">
        <f t="shared" ca="1" si="9"/>
        <v>0.23764705882352943</v>
      </c>
      <c r="E63" s="984">
        <f t="shared" ca="1" si="9"/>
        <v>0.20200000000000001</v>
      </c>
      <c r="F63" s="749">
        <f t="shared" si="9"/>
        <v>0.22700000000000001</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2365.1211440846459</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9087.7499999999982</v>
      </c>
      <c r="D76" s="994">
        <f>'lokale energieproductie'!C8</f>
        <v>10691.470588235292</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2159.677058823529</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2365.1211440846459</v>
      </c>
      <c r="C78" s="723">
        <f>SUM(C72:C77)</f>
        <v>9087.7499999999982</v>
      </c>
      <c r="D78" s="724">
        <f t="shared" ref="D78:H78" si="10">SUM(D76:D77)</f>
        <v>10691.470588235292</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2159.677058823529</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12982.499999999998</v>
      </c>
      <c r="D87" s="745">
        <f>'lokale energieproductie'!C17</f>
        <v>15273.529411764704</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3085.2529411764704</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12982.499999999998</v>
      </c>
      <c r="D90" s="723">
        <f t="shared" ref="D90:H90" si="12">SUM(D87:D89)</f>
        <v>15273.529411764704</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3085.2529411764704</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14850.974133009438</v>
      </c>
      <c r="C4" s="445">
        <f>huishoudens!C8</f>
        <v>0</v>
      </c>
      <c r="D4" s="445">
        <f>huishoudens!D8</f>
        <v>44457.183405048439</v>
      </c>
      <c r="E4" s="445">
        <f>huishoudens!E8</f>
        <v>556.07519926407178</v>
      </c>
      <c r="F4" s="445">
        <f>huishoudens!F8</f>
        <v>14088.452931689819</v>
      </c>
      <c r="G4" s="445">
        <f>huishoudens!G8</f>
        <v>0</v>
      </c>
      <c r="H4" s="445">
        <f>huishoudens!H8</f>
        <v>0</v>
      </c>
      <c r="I4" s="445">
        <f>huishoudens!I8</f>
        <v>0</v>
      </c>
      <c r="J4" s="445">
        <f>huishoudens!J8</f>
        <v>67.792054906814556</v>
      </c>
      <c r="K4" s="445">
        <f>huishoudens!K8</f>
        <v>0</v>
      </c>
      <c r="L4" s="445">
        <f>huishoudens!L8</f>
        <v>0</v>
      </c>
      <c r="M4" s="445">
        <f>huishoudens!M8</f>
        <v>0</v>
      </c>
      <c r="N4" s="445">
        <f>huishoudens!N8</f>
        <v>5171.9677526103778</v>
      </c>
      <c r="O4" s="445">
        <f>huishoudens!O8</f>
        <v>121.94000000000001</v>
      </c>
      <c r="P4" s="446">
        <f>huishoudens!P8</f>
        <v>381.33333333333337</v>
      </c>
      <c r="Q4" s="447">
        <f>SUM(B4:P4)</f>
        <v>79695.718809862286</v>
      </c>
    </row>
    <row r="5" spans="1:17">
      <c r="A5" s="444" t="s">
        <v>155</v>
      </c>
      <c r="B5" s="445">
        <f ca="1">tertiair!B16</f>
        <v>8897.9781643909009</v>
      </c>
      <c r="C5" s="445">
        <f ca="1">tertiair!C16</f>
        <v>35.357142857142861</v>
      </c>
      <c r="D5" s="445">
        <f ca="1">tertiair!D16</f>
        <v>11393.610100724869</v>
      </c>
      <c r="E5" s="445">
        <f>tertiair!E16</f>
        <v>162.18678967285575</v>
      </c>
      <c r="F5" s="445">
        <f ca="1">tertiair!F16</f>
        <v>1613.2867545283175</v>
      </c>
      <c r="G5" s="445">
        <f>tertiair!G16</f>
        <v>0</v>
      </c>
      <c r="H5" s="445">
        <f>tertiair!H16</f>
        <v>0</v>
      </c>
      <c r="I5" s="445">
        <f>tertiair!I16</f>
        <v>0</v>
      </c>
      <c r="J5" s="445">
        <f>tertiair!J16</f>
        <v>2.6596535468873465E-2</v>
      </c>
      <c r="K5" s="445">
        <f>tertiair!K16</f>
        <v>0</v>
      </c>
      <c r="L5" s="445">
        <f ca="1">tertiair!L16</f>
        <v>0</v>
      </c>
      <c r="M5" s="445">
        <f>tertiair!M16</f>
        <v>0</v>
      </c>
      <c r="N5" s="445">
        <f ca="1">tertiair!N16</f>
        <v>1052.3605355121279</v>
      </c>
      <c r="O5" s="445">
        <f>tertiair!O16</f>
        <v>3.1266666666666669</v>
      </c>
      <c r="P5" s="446">
        <f>tertiair!P16</f>
        <v>19.066666666666666</v>
      </c>
      <c r="Q5" s="444">
        <f t="shared" ref="Q5:Q14" ca="1" si="0">SUM(B5:P5)</f>
        <v>23176.999417555016</v>
      </c>
    </row>
    <row r="6" spans="1:17">
      <c r="A6" s="444" t="s">
        <v>193</v>
      </c>
      <c r="B6" s="445">
        <f>'openbare verlichting'!B8</f>
        <v>430.339</v>
      </c>
      <c r="C6" s="445"/>
      <c r="D6" s="445"/>
      <c r="E6" s="445"/>
      <c r="F6" s="445"/>
      <c r="G6" s="445"/>
      <c r="H6" s="445"/>
      <c r="I6" s="445"/>
      <c r="J6" s="445"/>
      <c r="K6" s="445"/>
      <c r="L6" s="445"/>
      <c r="M6" s="445"/>
      <c r="N6" s="445"/>
      <c r="O6" s="445"/>
      <c r="P6" s="446"/>
      <c r="Q6" s="444">
        <f t="shared" si="0"/>
        <v>430.339</v>
      </c>
    </row>
    <row r="7" spans="1:17">
      <c r="A7" s="444" t="s">
        <v>111</v>
      </c>
      <c r="B7" s="445">
        <f>landbouw!B8</f>
        <v>1517.635557825241</v>
      </c>
      <c r="C7" s="445">
        <f>landbouw!C8</f>
        <v>12947.142857142855</v>
      </c>
      <c r="D7" s="445">
        <f>landbouw!D8</f>
        <v>5591.0443502771122</v>
      </c>
      <c r="E7" s="445">
        <f>landbouw!E8</f>
        <v>44.607944438501555</v>
      </c>
      <c r="F7" s="445">
        <f>landbouw!F8</f>
        <v>6322.3877251788554</v>
      </c>
      <c r="G7" s="445">
        <f>landbouw!G8</f>
        <v>0</v>
      </c>
      <c r="H7" s="445">
        <f>landbouw!H8</f>
        <v>0</v>
      </c>
      <c r="I7" s="445">
        <f>landbouw!I8</f>
        <v>0</v>
      </c>
      <c r="J7" s="445">
        <f>landbouw!J8</f>
        <v>219.87280073220077</v>
      </c>
      <c r="K7" s="445">
        <f>landbouw!K8</f>
        <v>0</v>
      </c>
      <c r="L7" s="445">
        <f>landbouw!L8</f>
        <v>0</v>
      </c>
      <c r="M7" s="445">
        <f>landbouw!M8</f>
        <v>0</v>
      </c>
      <c r="N7" s="445">
        <f>landbouw!N8</f>
        <v>0</v>
      </c>
      <c r="O7" s="445">
        <f>landbouw!O8</f>
        <v>0</v>
      </c>
      <c r="P7" s="446">
        <f>landbouw!P8</f>
        <v>0</v>
      </c>
      <c r="Q7" s="444">
        <f t="shared" si="0"/>
        <v>26642.691235594768</v>
      </c>
    </row>
    <row r="8" spans="1:17">
      <c r="A8" s="444" t="s">
        <v>627</v>
      </c>
      <c r="B8" s="445">
        <f>industrie!B18</f>
        <v>4441.3966594809281</v>
      </c>
      <c r="C8" s="445">
        <f>industrie!C18</f>
        <v>0</v>
      </c>
      <c r="D8" s="445">
        <f>industrie!D18</f>
        <v>2141.4313736803792</v>
      </c>
      <c r="E8" s="445">
        <f>industrie!E18</f>
        <v>352.52517886842054</v>
      </c>
      <c r="F8" s="445">
        <f>industrie!F18</f>
        <v>1157.0190634420464</v>
      </c>
      <c r="G8" s="445">
        <f>industrie!G18</f>
        <v>0</v>
      </c>
      <c r="H8" s="445">
        <f>industrie!H18</f>
        <v>0</v>
      </c>
      <c r="I8" s="445">
        <f>industrie!I18</f>
        <v>0</v>
      </c>
      <c r="J8" s="445">
        <f>industrie!J18</f>
        <v>11.765456052999452</v>
      </c>
      <c r="K8" s="445">
        <f>industrie!K18</f>
        <v>0</v>
      </c>
      <c r="L8" s="445">
        <f>industrie!L18</f>
        <v>0</v>
      </c>
      <c r="M8" s="445">
        <f>industrie!M18</f>
        <v>0</v>
      </c>
      <c r="N8" s="445">
        <f>industrie!N18</f>
        <v>303.73568311970149</v>
      </c>
      <c r="O8" s="445">
        <f>industrie!O18</f>
        <v>0</v>
      </c>
      <c r="P8" s="446">
        <f>industrie!P18</f>
        <v>0</v>
      </c>
      <c r="Q8" s="444">
        <f t="shared" si="0"/>
        <v>8407.8734146444749</v>
      </c>
    </row>
    <row r="9" spans="1:17" s="450" customFormat="1">
      <c r="A9" s="448" t="s">
        <v>553</v>
      </c>
      <c r="B9" s="449">
        <f>transport!B14</f>
        <v>27.543936413290723</v>
      </c>
      <c r="C9" s="449">
        <f>transport!C14</f>
        <v>0</v>
      </c>
      <c r="D9" s="449">
        <f>transport!D14</f>
        <v>48.563477003339486</v>
      </c>
      <c r="E9" s="449">
        <f>transport!E14</f>
        <v>84.626067837236576</v>
      </c>
      <c r="F9" s="449">
        <f>transport!F14</f>
        <v>0</v>
      </c>
      <c r="G9" s="449">
        <f>transport!G14</f>
        <v>31394.679943017109</v>
      </c>
      <c r="H9" s="449">
        <f>transport!H14</f>
        <v>7807.7165239425121</v>
      </c>
      <c r="I9" s="449">
        <f>transport!I14</f>
        <v>0</v>
      </c>
      <c r="J9" s="449">
        <f>transport!J14</f>
        <v>0</v>
      </c>
      <c r="K9" s="449">
        <f>transport!K14</f>
        <v>0</v>
      </c>
      <c r="L9" s="449">
        <f>transport!L14</f>
        <v>0</v>
      </c>
      <c r="M9" s="449">
        <f>transport!M14</f>
        <v>2064.1112904524325</v>
      </c>
      <c r="N9" s="449">
        <f>transport!N14</f>
        <v>0</v>
      </c>
      <c r="O9" s="449">
        <f>transport!O14</f>
        <v>0</v>
      </c>
      <c r="P9" s="449">
        <f>transport!P14</f>
        <v>0</v>
      </c>
      <c r="Q9" s="448">
        <f>SUM(B9:P9)</f>
        <v>41427.241238665927</v>
      </c>
    </row>
    <row r="10" spans="1:17">
      <c r="A10" s="444" t="s">
        <v>543</v>
      </c>
      <c r="B10" s="445">
        <f>transport!B54</f>
        <v>4.5401913576422421</v>
      </c>
      <c r="C10" s="445">
        <f>transport!C54</f>
        <v>0</v>
      </c>
      <c r="D10" s="445">
        <f>transport!D54</f>
        <v>0</v>
      </c>
      <c r="E10" s="445">
        <f>transport!E54</f>
        <v>0</v>
      </c>
      <c r="F10" s="445">
        <f>transport!F54</f>
        <v>0</v>
      </c>
      <c r="G10" s="445">
        <f>transport!G54</f>
        <v>426.50591258252257</v>
      </c>
      <c r="H10" s="445">
        <f>transport!H54</f>
        <v>0</v>
      </c>
      <c r="I10" s="445">
        <f>transport!I54</f>
        <v>0</v>
      </c>
      <c r="J10" s="445">
        <f>transport!J54</f>
        <v>0</v>
      </c>
      <c r="K10" s="445">
        <f>transport!K54</f>
        <v>0</v>
      </c>
      <c r="L10" s="445">
        <f>transport!L54</f>
        <v>0</v>
      </c>
      <c r="M10" s="445">
        <f>transport!M54</f>
        <v>24.561194914789773</v>
      </c>
      <c r="N10" s="445">
        <f>transport!N54</f>
        <v>0</v>
      </c>
      <c r="O10" s="445">
        <f>transport!O54</f>
        <v>0</v>
      </c>
      <c r="P10" s="446">
        <f>transport!P54</f>
        <v>0</v>
      </c>
      <c r="Q10" s="444">
        <f t="shared" si="0"/>
        <v>455.60729885495459</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438.78759122345798</v>
      </c>
      <c r="C14" s="452"/>
      <c r="D14" s="452">
        <f>'SEAP template'!E25</f>
        <v>1296.20334450019</v>
      </c>
      <c r="E14" s="452"/>
      <c r="F14" s="452"/>
      <c r="G14" s="452"/>
      <c r="H14" s="452"/>
      <c r="I14" s="452"/>
      <c r="J14" s="452"/>
      <c r="K14" s="452"/>
      <c r="L14" s="452"/>
      <c r="M14" s="452"/>
      <c r="N14" s="452"/>
      <c r="O14" s="452"/>
      <c r="P14" s="453"/>
      <c r="Q14" s="444">
        <f t="shared" si="0"/>
        <v>1734.9909357236479</v>
      </c>
    </row>
    <row r="15" spans="1:17" s="454" customFormat="1">
      <c r="A15" s="999" t="s">
        <v>547</v>
      </c>
      <c r="B15" s="947">
        <f ca="1">SUM(B4:B14)</f>
        <v>30609.195233700902</v>
      </c>
      <c r="C15" s="947">
        <f t="shared" ref="C15:Q15" ca="1" si="1">SUM(C4:C14)</f>
        <v>12982.499999999998</v>
      </c>
      <c r="D15" s="947">
        <f t="shared" ca="1" si="1"/>
        <v>64928.036051234332</v>
      </c>
      <c r="E15" s="947">
        <f t="shared" si="1"/>
        <v>1200.0211800810864</v>
      </c>
      <c r="F15" s="947">
        <f t="shared" ca="1" si="1"/>
        <v>23181.146474839039</v>
      </c>
      <c r="G15" s="947">
        <f t="shared" si="1"/>
        <v>31821.18585559963</v>
      </c>
      <c r="H15" s="947">
        <f t="shared" si="1"/>
        <v>7807.7165239425121</v>
      </c>
      <c r="I15" s="947">
        <f t="shared" si="1"/>
        <v>0</v>
      </c>
      <c r="J15" s="947">
        <f t="shared" si="1"/>
        <v>299.45690822748367</v>
      </c>
      <c r="K15" s="947">
        <f t="shared" si="1"/>
        <v>0</v>
      </c>
      <c r="L15" s="947">
        <f t="shared" ca="1" si="1"/>
        <v>0</v>
      </c>
      <c r="M15" s="947">
        <f t="shared" si="1"/>
        <v>2088.6724853672222</v>
      </c>
      <c r="N15" s="947">
        <f t="shared" ca="1" si="1"/>
        <v>6528.0639712422071</v>
      </c>
      <c r="O15" s="947">
        <f t="shared" si="1"/>
        <v>125.06666666666668</v>
      </c>
      <c r="P15" s="947">
        <f t="shared" si="1"/>
        <v>400.40000000000003</v>
      </c>
      <c r="Q15" s="947">
        <f t="shared" ca="1" si="1"/>
        <v>181971.46135090108</v>
      </c>
    </row>
    <row r="17" spans="1:17">
      <c r="A17" s="455" t="s">
        <v>548</v>
      </c>
      <c r="B17" s="754">
        <f ca="1">huishoudens!B10</f>
        <v>0.20886614737226888</v>
      </c>
      <c r="C17" s="754">
        <f ca="1">huishoudens!C10</f>
        <v>0.23764705882352943</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3101.8657518869027</v>
      </c>
      <c r="C22" s="445">
        <f t="shared" ref="C22:C32" ca="1" si="3">C4*$C$17</f>
        <v>0</v>
      </c>
      <c r="D22" s="445">
        <f t="shared" ref="D22:D32" si="4">D4*$D$17</f>
        <v>8980.3510478197859</v>
      </c>
      <c r="E22" s="445">
        <f t="shared" ref="E22:E32" si="5">E4*$E$17</f>
        <v>126.2290702329443</v>
      </c>
      <c r="F22" s="445">
        <f t="shared" ref="F22:F32" si="6">F4*$F$17</f>
        <v>3761.6169327611819</v>
      </c>
      <c r="G22" s="445">
        <f t="shared" ref="G22:G32" si="7">G4*$G$17</f>
        <v>0</v>
      </c>
      <c r="H22" s="445">
        <f t="shared" ref="H22:H32" si="8">H4*$H$17</f>
        <v>0</v>
      </c>
      <c r="I22" s="445">
        <f t="shared" ref="I22:I32" si="9">I4*$I$17</f>
        <v>0</v>
      </c>
      <c r="J22" s="445">
        <f t="shared" ref="J22:J32" si="10">J4*$J$17</f>
        <v>23.998387437012351</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15994.061190137827</v>
      </c>
    </row>
    <row r="23" spans="1:17">
      <c r="A23" s="444" t="s">
        <v>155</v>
      </c>
      <c r="B23" s="445">
        <f t="shared" ca="1" si="2"/>
        <v>1858.4864185989004</v>
      </c>
      <c r="C23" s="445">
        <f t="shared" ca="1" si="3"/>
        <v>8.4025210084033635</v>
      </c>
      <c r="D23" s="445">
        <f t="shared" ca="1" si="4"/>
        <v>2301.5092403464237</v>
      </c>
      <c r="E23" s="445">
        <f t="shared" si="5"/>
        <v>36.816401255738256</v>
      </c>
      <c r="F23" s="445">
        <f t="shared" ca="1" si="6"/>
        <v>430.74756345906081</v>
      </c>
      <c r="G23" s="445">
        <f t="shared" si="7"/>
        <v>0</v>
      </c>
      <c r="H23" s="445">
        <f t="shared" si="8"/>
        <v>0</v>
      </c>
      <c r="I23" s="445">
        <f t="shared" si="9"/>
        <v>0</v>
      </c>
      <c r="J23" s="445">
        <f t="shared" si="10"/>
        <v>9.4151735559812062E-3</v>
      </c>
      <c r="K23" s="445">
        <f t="shared" si="11"/>
        <v>0</v>
      </c>
      <c r="L23" s="445">
        <f t="shared" ca="1" si="12"/>
        <v>0</v>
      </c>
      <c r="M23" s="445">
        <f t="shared" si="13"/>
        <v>0</v>
      </c>
      <c r="N23" s="445">
        <f t="shared" ca="1" si="14"/>
        <v>0</v>
      </c>
      <c r="O23" s="445">
        <f t="shared" si="15"/>
        <v>0</v>
      </c>
      <c r="P23" s="446">
        <f t="shared" si="16"/>
        <v>0</v>
      </c>
      <c r="Q23" s="444">
        <f t="shared" ref="Q23:Q32" ca="1" si="17">SUM(B23:P23)</f>
        <v>4635.9715598420817</v>
      </c>
    </row>
    <row r="24" spans="1:17">
      <c r="A24" s="444" t="s">
        <v>193</v>
      </c>
      <c r="B24" s="445">
        <f t="shared" ca="1" si="2"/>
        <v>89.883248994034815</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89.883248994034815</v>
      </c>
    </row>
    <row r="25" spans="1:17">
      <c r="A25" s="444" t="s">
        <v>111</v>
      </c>
      <c r="B25" s="445">
        <f t="shared" ca="1" si="2"/>
        <v>316.98269207812228</v>
      </c>
      <c r="C25" s="445">
        <f t="shared" ca="1" si="3"/>
        <v>3076.8504201680671</v>
      </c>
      <c r="D25" s="445">
        <f t="shared" si="4"/>
        <v>1129.3909587559767</v>
      </c>
      <c r="E25" s="445">
        <f t="shared" si="5"/>
        <v>10.126003387539853</v>
      </c>
      <c r="F25" s="445">
        <f t="shared" si="6"/>
        <v>1688.0775226227545</v>
      </c>
      <c r="G25" s="445">
        <f t="shared" si="7"/>
        <v>0</v>
      </c>
      <c r="H25" s="445">
        <f t="shared" si="8"/>
        <v>0</v>
      </c>
      <c r="I25" s="445">
        <f t="shared" si="9"/>
        <v>0</v>
      </c>
      <c r="J25" s="445">
        <f t="shared" si="10"/>
        <v>77.834971459199068</v>
      </c>
      <c r="K25" s="445">
        <f t="shared" si="11"/>
        <v>0</v>
      </c>
      <c r="L25" s="445">
        <f t="shared" si="12"/>
        <v>0</v>
      </c>
      <c r="M25" s="445">
        <f t="shared" si="13"/>
        <v>0</v>
      </c>
      <c r="N25" s="445">
        <f t="shared" si="14"/>
        <v>0</v>
      </c>
      <c r="O25" s="445">
        <f t="shared" si="15"/>
        <v>0</v>
      </c>
      <c r="P25" s="446">
        <f t="shared" si="16"/>
        <v>0</v>
      </c>
      <c r="Q25" s="444">
        <f t="shared" ca="1" si="17"/>
        <v>6299.2625684716586</v>
      </c>
    </row>
    <row r="26" spans="1:17">
      <c r="A26" s="444" t="s">
        <v>627</v>
      </c>
      <c r="B26" s="445">
        <f t="shared" ca="1" si="2"/>
        <v>927.65740921784629</v>
      </c>
      <c r="C26" s="445">
        <f t="shared" ca="1" si="3"/>
        <v>0</v>
      </c>
      <c r="D26" s="445">
        <f t="shared" si="4"/>
        <v>432.56913748343663</v>
      </c>
      <c r="E26" s="445">
        <f t="shared" si="5"/>
        <v>80.023215603131462</v>
      </c>
      <c r="F26" s="445">
        <f t="shared" si="6"/>
        <v>308.92408993902643</v>
      </c>
      <c r="G26" s="445">
        <f t="shared" si="7"/>
        <v>0</v>
      </c>
      <c r="H26" s="445">
        <f t="shared" si="8"/>
        <v>0</v>
      </c>
      <c r="I26" s="445">
        <f t="shared" si="9"/>
        <v>0</v>
      </c>
      <c r="J26" s="445">
        <f t="shared" si="10"/>
        <v>4.1649714427618063</v>
      </c>
      <c r="K26" s="445">
        <f t="shared" si="11"/>
        <v>0</v>
      </c>
      <c r="L26" s="445">
        <f t="shared" si="12"/>
        <v>0</v>
      </c>
      <c r="M26" s="445">
        <f t="shared" si="13"/>
        <v>0</v>
      </c>
      <c r="N26" s="445">
        <f t="shared" si="14"/>
        <v>0</v>
      </c>
      <c r="O26" s="445">
        <f t="shared" si="15"/>
        <v>0</v>
      </c>
      <c r="P26" s="446">
        <f t="shared" si="16"/>
        <v>0</v>
      </c>
      <c r="Q26" s="444">
        <f t="shared" ca="1" si="17"/>
        <v>1753.3388236862029</v>
      </c>
    </row>
    <row r="27" spans="1:17" s="450" customFormat="1">
      <c r="A27" s="448" t="s">
        <v>553</v>
      </c>
      <c r="B27" s="748">
        <f t="shared" ca="1" si="2"/>
        <v>5.7529958821107829</v>
      </c>
      <c r="C27" s="449">
        <f t="shared" ca="1" si="3"/>
        <v>0</v>
      </c>
      <c r="D27" s="449">
        <f t="shared" si="4"/>
        <v>9.8098223546745764</v>
      </c>
      <c r="E27" s="449">
        <f t="shared" si="5"/>
        <v>19.210117399052702</v>
      </c>
      <c r="F27" s="449">
        <f t="shared" si="6"/>
        <v>0</v>
      </c>
      <c r="G27" s="449">
        <f t="shared" si="7"/>
        <v>8382.3795447855682</v>
      </c>
      <c r="H27" s="449">
        <f t="shared" si="8"/>
        <v>1944.1214144616856</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10361.273894883092</v>
      </c>
    </row>
    <row r="28" spans="1:17">
      <c r="A28" s="444" t="s">
        <v>543</v>
      </c>
      <c r="B28" s="445">
        <f t="shared" ca="1" si="2"/>
        <v>0.94829227720360609</v>
      </c>
      <c r="C28" s="445">
        <f t="shared" ca="1" si="3"/>
        <v>0</v>
      </c>
      <c r="D28" s="445">
        <f t="shared" si="4"/>
        <v>0</v>
      </c>
      <c r="E28" s="445">
        <f t="shared" si="5"/>
        <v>0</v>
      </c>
      <c r="F28" s="445">
        <f t="shared" si="6"/>
        <v>0</v>
      </c>
      <c r="G28" s="445">
        <f t="shared" si="7"/>
        <v>113.87707865953354</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114.82537093673714</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91.647873693601653</v>
      </c>
      <c r="C32" s="445">
        <f t="shared" ca="1" si="3"/>
        <v>0</v>
      </c>
      <c r="D32" s="445">
        <f t="shared" si="4"/>
        <v>261.8330755890384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353.48094928264004</v>
      </c>
    </row>
    <row r="33" spans="1:17" s="454" customFormat="1">
      <c r="A33" s="999" t="s">
        <v>547</v>
      </c>
      <c r="B33" s="947">
        <f ca="1">SUM(B22:B32)</f>
        <v>6393.2246826287228</v>
      </c>
      <c r="C33" s="947">
        <f t="shared" ref="C33:Q33" ca="1" si="18">SUM(C22:C32)</f>
        <v>3085.2529411764704</v>
      </c>
      <c r="D33" s="947">
        <f t="shared" ca="1" si="18"/>
        <v>13115.463282349338</v>
      </c>
      <c r="E33" s="947">
        <f t="shared" si="18"/>
        <v>272.40480787840659</v>
      </c>
      <c r="F33" s="947">
        <f t="shared" ca="1" si="18"/>
        <v>6189.3661087820228</v>
      </c>
      <c r="G33" s="947">
        <f t="shared" si="18"/>
        <v>8496.2566234451024</v>
      </c>
      <c r="H33" s="947">
        <f t="shared" si="18"/>
        <v>1944.1214144616856</v>
      </c>
      <c r="I33" s="947">
        <f t="shared" si="18"/>
        <v>0</v>
      </c>
      <c r="J33" s="947">
        <f t="shared" si="18"/>
        <v>106.00774551252921</v>
      </c>
      <c r="K33" s="947">
        <f t="shared" si="18"/>
        <v>0</v>
      </c>
      <c r="L33" s="947">
        <f t="shared" ca="1" si="18"/>
        <v>0</v>
      </c>
      <c r="M33" s="947">
        <f t="shared" si="18"/>
        <v>0</v>
      </c>
      <c r="N33" s="947">
        <f t="shared" ca="1" si="18"/>
        <v>0</v>
      </c>
      <c r="O33" s="947">
        <f t="shared" si="18"/>
        <v>0</v>
      </c>
      <c r="P33" s="947">
        <f t="shared" si="18"/>
        <v>0</v>
      </c>
      <c r="Q33" s="947">
        <f t="shared" ca="1" si="18"/>
        <v>39602.097606234267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2365.1211440846459</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9087.7499999999982</v>
      </c>
      <c r="D8" s="1016">
        <f>'SEAP template'!D76</f>
        <v>10691.470588235292</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2159.677058823529</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2365.1211440846459</v>
      </c>
      <c r="C10" s="1020">
        <f>SUM(C4:C9)</f>
        <v>9087.7499999999982</v>
      </c>
      <c r="D10" s="1020">
        <f t="shared" ref="D10:H10" si="0">SUM(D8:D9)</f>
        <v>10691.470588235292</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2159.677058823529</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0.20886614737226888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12982.499999999998</v>
      </c>
      <c r="D17" s="1017">
        <f>'SEAP template'!D87</f>
        <v>15273.529411764704</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3085.2529411764704</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12982.499999999998</v>
      </c>
      <c r="D20" s="1020">
        <f t="shared" ref="D20:H20" si="2">SUM(D17:D19)</f>
        <v>15273.529411764704</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3085.2529411764704</v>
      </c>
    </row>
    <row r="22" spans="1:16">
      <c r="A22" s="455" t="s">
        <v>833</v>
      </c>
      <c r="B22" s="754" t="s">
        <v>827</v>
      </c>
      <c r="C22" s="754">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0.20886614737226888</v>
      </c>
      <c r="C17" s="492">
        <f ca="1">'EF ele_warmte'!B22</f>
        <v>0.23764705882352943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0.20886614737226888</v>
      </c>
      <c r="C17" s="492">
        <f ca="1">'EF ele_warmte'!B22</f>
        <v>0.23764705882352943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0.20886614737226888</v>
      </c>
      <c r="C29" s="493">
        <f ca="1">'EF ele_warmte'!B22</f>
        <v>0.23764705882352943</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3693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1208.95</v>
      </c>
      <c r="C14" s="324"/>
      <c r="D14" s="324"/>
      <c r="E14" s="324"/>
      <c r="F14" s="324"/>
    </row>
    <row r="15" spans="1:6">
      <c r="A15" s="1291" t="s">
        <v>183</v>
      </c>
      <c r="B15" s="1292">
        <v>20</v>
      </c>
      <c r="C15" s="324"/>
      <c r="D15" s="324"/>
      <c r="E15" s="324"/>
      <c r="F15" s="324"/>
    </row>
    <row r="16" spans="1:6">
      <c r="A16" s="1291" t="s">
        <v>6</v>
      </c>
      <c r="B16" s="1292">
        <v>1046</v>
      </c>
      <c r="C16" s="324"/>
      <c r="D16" s="324"/>
      <c r="E16" s="324"/>
      <c r="F16" s="324"/>
    </row>
    <row r="17" spans="1:6">
      <c r="A17" s="1291" t="s">
        <v>7</v>
      </c>
      <c r="B17" s="1292">
        <v>55</v>
      </c>
      <c r="C17" s="324"/>
      <c r="D17" s="324"/>
      <c r="E17" s="324"/>
      <c r="F17" s="324"/>
    </row>
    <row r="18" spans="1:6">
      <c r="A18" s="1291" t="s">
        <v>8</v>
      </c>
      <c r="B18" s="1292">
        <v>556</v>
      </c>
      <c r="C18" s="324"/>
      <c r="D18" s="324"/>
      <c r="E18" s="324"/>
      <c r="F18" s="324"/>
    </row>
    <row r="19" spans="1:6">
      <c r="A19" s="1291" t="s">
        <v>9</v>
      </c>
      <c r="B19" s="1292">
        <v>580</v>
      </c>
      <c r="C19" s="324"/>
      <c r="D19" s="324"/>
      <c r="E19" s="324"/>
      <c r="F19" s="324"/>
    </row>
    <row r="20" spans="1:6">
      <c r="A20" s="1291" t="s">
        <v>10</v>
      </c>
      <c r="B20" s="1292">
        <v>259</v>
      </c>
      <c r="C20" s="324"/>
      <c r="D20" s="324"/>
      <c r="E20" s="324"/>
      <c r="F20" s="324"/>
    </row>
    <row r="21" spans="1:6">
      <c r="A21" s="1291" t="s">
        <v>11</v>
      </c>
      <c r="B21" s="1292">
        <v>2300</v>
      </c>
      <c r="C21" s="324"/>
      <c r="D21" s="324"/>
      <c r="E21" s="324"/>
      <c r="F21" s="324"/>
    </row>
    <row r="22" spans="1:6">
      <c r="A22" s="1291" t="s">
        <v>12</v>
      </c>
      <c r="B22" s="1292">
        <v>6518</v>
      </c>
      <c r="C22" s="324"/>
      <c r="D22" s="324"/>
      <c r="E22" s="324"/>
      <c r="F22" s="324"/>
    </row>
    <row r="23" spans="1:6">
      <c r="A23" s="1291" t="s">
        <v>13</v>
      </c>
      <c r="B23" s="1292">
        <v>124</v>
      </c>
      <c r="C23" s="324"/>
      <c r="D23" s="324"/>
      <c r="E23" s="324"/>
      <c r="F23" s="324"/>
    </row>
    <row r="24" spans="1:6">
      <c r="A24" s="1291" t="s">
        <v>14</v>
      </c>
      <c r="B24" s="1292">
        <v>9</v>
      </c>
      <c r="C24" s="324"/>
      <c r="D24" s="324"/>
      <c r="E24" s="324"/>
      <c r="F24" s="324"/>
    </row>
    <row r="25" spans="1:6">
      <c r="A25" s="1291" t="s">
        <v>15</v>
      </c>
      <c r="B25" s="1292">
        <v>763</v>
      </c>
      <c r="C25" s="324"/>
      <c r="D25" s="324"/>
      <c r="E25" s="324"/>
      <c r="F25" s="324"/>
    </row>
    <row r="26" spans="1:6">
      <c r="A26" s="1291" t="s">
        <v>16</v>
      </c>
      <c r="B26" s="1292">
        <v>48</v>
      </c>
      <c r="C26" s="324"/>
      <c r="D26" s="324"/>
      <c r="E26" s="324"/>
      <c r="F26" s="324"/>
    </row>
    <row r="27" spans="1:6">
      <c r="A27" s="1291" t="s">
        <v>17</v>
      </c>
      <c r="B27" s="1292">
        <v>9</v>
      </c>
      <c r="C27" s="324"/>
      <c r="D27" s="324"/>
      <c r="E27" s="324"/>
      <c r="F27" s="324"/>
    </row>
    <row r="28" spans="1:6" s="43" customFormat="1">
      <c r="A28" s="1293" t="s">
        <v>18</v>
      </c>
      <c r="B28" s="1294">
        <v>2</v>
      </c>
      <c r="C28" s="330"/>
      <c r="D28" s="330"/>
      <c r="E28" s="330"/>
      <c r="F28" s="330"/>
    </row>
    <row r="29" spans="1:6">
      <c r="A29" s="1293" t="s">
        <v>722</v>
      </c>
      <c r="B29" s="1294">
        <v>125</v>
      </c>
      <c r="C29" s="330"/>
      <c r="D29" s="330"/>
      <c r="E29" s="330"/>
      <c r="F29" s="330"/>
    </row>
    <row r="30" spans="1:6">
      <c r="A30" s="1286" t="s">
        <v>723</v>
      </c>
      <c r="B30" s="1295">
        <v>20</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2</v>
      </c>
      <c r="D38" s="1292">
        <v>132532.90609233399</v>
      </c>
      <c r="E38" s="1292">
        <v>2</v>
      </c>
      <c r="F38" s="1292">
        <v>56121.308608147803</v>
      </c>
    </row>
    <row r="39" spans="1:6">
      <c r="A39" s="1291" t="s">
        <v>29</v>
      </c>
      <c r="B39" s="1291" t="s">
        <v>30</v>
      </c>
      <c r="C39" s="1292">
        <v>2860</v>
      </c>
      <c r="D39" s="1292">
        <v>49287343.021118</v>
      </c>
      <c r="E39" s="1292">
        <v>3649</v>
      </c>
      <c r="F39" s="1292">
        <v>12883884.801208099</v>
      </c>
    </row>
    <row r="40" spans="1:6">
      <c r="A40" s="1291" t="s">
        <v>29</v>
      </c>
      <c r="B40" s="1291" t="s">
        <v>28</v>
      </c>
      <c r="C40" s="1292">
        <v>0</v>
      </c>
      <c r="D40" s="1292">
        <v>0</v>
      </c>
      <c r="E40" s="1292">
        <v>0</v>
      </c>
      <c r="F40" s="1292">
        <v>0</v>
      </c>
    </row>
    <row r="41" spans="1:6">
      <c r="A41" s="1291" t="s">
        <v>31</v>
      </c>
      <c r="B41" s="1291" t="s">
        <v>32</v>
      </c>
      <c r="C41" s="1292">
        <v>33</v>
      </c>
      <c r="D41" s="1292">
        <v>758688.80242207798</v>
      </c>
      <c r="E41" s="1292">
        <v>58</v>
      </c>
      <c r="F41" s="1292">
        <v>575644.48363914096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317580.23808000702</v>
      </c>
      <c r="E44" s="1292">
        <v>4</v>
      </c>
      <c r="F44" s="1292">
        <v>220770.53124493701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23</v>
      </c>
      <c r="D48" s="1292">
        <v>1046464.25640392</v>
      </c>
      <c r="E48" s="1292">
        <v>25</v>
      </c>
      <c r="F48" s="1292">
        <v>3286457.6947082798</v>
      </c>
    </row>
    <row r="49" spans="1:6">
      <c r="A49" s="1291" t="s">
        <v>31</v>
      </c>
      <c r="B49" s="1291" t="s">
        <v>39</v>
      </c>
      <c r="C49" s="1292">
        <v>0</v>
      </c>
      <c r="D49" s="1292">
        <v>0</v>
      </c>
      <c r="E49" s="1292">
        <v>0</v>
      </c>
      <c r="F49" s="1292">
        <v>0</v>
      </c>
    </row>
    <row r="50" spans="1:6">
      <c r="A50" s="1291" t="s">
        <v>31</v>
      </c>
      <c r="B50" s="1291" t="s">
        <v>40</v>
      </c>
      <c r="C50" s="1292">
        <v>6</v>
      </c>
      <c r="D50" s="1292">
        <v>251359.13511215401</v>
      </c>
      <c r="E50" s="1292">
        <v>6</v>
      </c>
      <c r="F50" s="1292">
        <v>358523.94988857099</v>
      </c>
    </row>
    <row r="51" spans="1:6">
      <c r="A51" s="1291" t="s">
        <v>41</v>
      </c>
      <c r="B51" s="1291" t="s">
        <v>42</v>
      </c>
      <c r="C51" s="1292">
        <v>3</v>
      </c>
      <c r="D51" s="1292">
        <v>141016.10834041901</v>
      </c>
      <c r="E51" s="1292">
        <v>40</v>
      </c>
      <c r="F51" s="1292">
        <v>877473.46369676699</v>
      </c>
    </row>
    <row r="52" spans="1:6">
      <c r="A52" s="1291" t="s">
        <v>41</v>
      </c>
      <c r="B52" s="1291" t="s">
        <v>28</v>
      </c>
      <c r="C52" s="1292">
        <v>4</v>
      </c>
      <c r="D52" s="1292">
        <v>34765114.783636101</v>
      </c>
      <c r="E52" s="1292">
        <v>8</v>
      </c>
      <c r="F52" s="1292">
        <v>640162.09412847401</v>
      </c>
    </row>
    <row r="53" spans="1:6">
      <c r="A53" s="1291" t="s">
        <v>43</v>
      </c>
      <c r="B53" s="1291" t="s">
        <v>44</v>
      </c>
      <c r="C53" s="1292">
        <v>60</v>
      </c>
      <c r="D53" s="1292">
        <v>1296203.3445001901</v>
      </c>
      <c r="E53" s="1292">
        <v>117</v>
      </c>
      <c r="F53" s="1292">
        <v>438787.591223458</v>
      </c>
    </row>
    <row r="54" spans="1:6">
      <c r="A54" s="1291" t="s">
        <v>45</v>
      </c>
      <c r="B54" s="1291" t="s">
        <v>46</v>
      </c>
      <c r="C54" s="1292">
        <v>0</v>
      </c>
      <c r="D54" s="1292">
        <v>0</v>
      </c>
      <c r="E54" s="1292">
        <v>1</v>
      </c>
      <c r="F54" s="1292">
        <v>430339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40</v>
      </c>
      <c r="D57" s="1292">
        <v>2828030.4410077198</v>
      </c>
      <c r="E57" s="1292">
        <v>62</v>
      </c>
      <c r="F57" s="1292">
        <v>991489.11860467703</v>
      </c>
    </row>
    <row r="58" spans="1:6">
      <c r="A58" s="1291" t="s">
        <v>48</v>
      </c>
      <c r="B58" s="1291" t="s">
        <v>50</v>
      </c>
      <c r="C58" s="1292">
        <v>24</v>
      </c>
      <c r="D58" s="1292">
        <v>687544.52936001099</v>
      </c>
      <c r="E58" s="1292">
        <v>18</v>
      </c>
      <c r="F58" s="1292">
        <v>74065.285368799407</v>
      </c>
    </row>
    <row r="59" spans="1:6">
      <c r="A59" s="1291" t="s">
        <v>48</v>
      </c>
      <c r="B59" s="1291" t="s">
        <v>51</v>
      </c>
      <c r="C59" s="1292">
        <v>40</v>
      </c>
      <c r="D59" s="1292">
        <v>1431801.3393385401</v>
      </c>
      <c r="E59" s="1292">
        <v>84</v>
      </c>
      <c r="F59" s="1292">
        <v>3374484.7504513799</v>
      </c>
    </row>
    <row r="60" spans="1:6">
      <c r="A60" s="1291" t="s">
        <v>48</v>
      </c>
      <c r="B60" s="1291" t="s">
        <v>52</v>
      </c>
      <c r="C60" s="1292">
        <v>32</v>
      </c>
      <c r="D60" s="1292">
        <v>1131439.4506562101</v>
      </c>
      <c r="E60" s="1292">
        <v>42</v>
      </c>
      <c r="F60" s="1292">
        <v>877985.71527292405</v>
      </c>
    </row>
    <row r="61" spans="1:6">
      <c r="A61" s="1291" t="s">
        <v>48</v>
      </c>
      <c r="B61" s="1291" t="s">
        <v>53</v>
      </c>
      <c r="C61" s="1292">
        <v>47</v>
      </c>
      <c r="D61" s="1292">
        <v>3483125.9661745201</v>
      </c>
      <c r="E61" s="1292">
        <v>147</v>
      </c>
      <c r="F61" s="1292">
        <v>1459336.95497507</v>
      </c>
    </row>
    <row r="62" spans="1:6">
      <c r="A62" s="1291" t="s">
        <v>48</v>
      </c>
      <c r="B62" s="1291" t="s">
        <v>54</v>
      </c>
      <c r="C62" s="1292">
        <v>0</v>
      </c>
      <c r="D62" s="1292">
        <v>0</v>
      </c>
      <c r="E62" s="1292">
        <v>0</v>
      </c>
      <c r="F62" s="1292">
        <v>0</v>
      </c>
    </row>
    <row r="63" spans="1:6">
      <c r="A63" s="1291" t="s">
        <v>48</v>
      </c>
      <c r="B63" s="1291" t="s">
        <v>28</v>
      </c>
      <c r="C63" s="1292">
        <v>64</v>
      </c>
      <c r="D63" s="1292">
        <v>3147952.2717325701</v>
      </c>
      <c r="E63" s="1292">
        <v>78</v>
      </c>
      <c r="F63" s="1292">
        <v>2095866.3397180501</v>
      </c>
    </row>
    <row r="64" spans="1:6">
      <c r="A64" s="1291" t="s">
        <v>55</v>
      </c>
      <c r="B64" s="1291" t="s">
        <v>56</v>
      </c>
      <c r="C64" s="1292">
        <v>0</v>
      </c>
      <c r="D64" s="1292">
        <v>0</v>
      </c>
      <c r="E64" s="1292">
        <v>0</v>
      </c>
      <c r="F64" s="1292">
        <v>0</v>
      </c>
    </row>
    <row r="65" spans="1:6">
      <c r="A65" s="1291" t="s">
        <v>55</v>
      </c>
      <c r="B65" s="1291" t="s">
        <v>28</v>
      </c>
      <c r="C65" s="1292">
        <v>1</v>
      </c>
      <c r="D65" s="1292">
        <v>28808.9665258842</v>
      </c>
      <c r="E65" s="1292">
        <v>4</v>
      </c>
      <c r="F65" s="1292">
        <v>24238.967493915901</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3</v>
      </c>
      <c r="D68" s="1295">
        <v>919054.54291166901</v>
      </c>
      <c r="E68" s="1295">
        <v>6</v>
      </c>
      <c r="F68" s="1295">
        <v>291074.38371443597</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44424037</v>
      </c>
      <c r="E73" s="443"/>
      <c r="F73" s="324"/>
    </row>
    <row r="74" spans="1:6">
      <c r="A74" s="1291" t="s">
        <v>63</v>
      </c>
      <c r="B74" s="1291" t="s">
        <v>648</v>
      </c>
      <c r="C74" s="1305" t="s">
        <v>650</v>
      </c>
      <c r="D74" s="1306">
        <v>2005556.5</v>
      </c>
      <c r="E74" s="443"/>
      <c r="F74" s="324"/>
    </row>
    <row r="75" spans="1:6">
      <c r="A75" s="1291" t="s">
        <v>64</v>
      </c>
      <c r="B75" s="1291" t="s">
        <v>647</v>
      </c>
      <c r="C75" s="1305" t="s">
        <v>651</v>
      </c>
      <c r="D75" s="1306">
        <v>8628492</v>
      </c>
      <c r="E75" s="443"/>
      <c r="F75" s="324"/>
    </row>
    <row r="76" spans="1:6">
      <c r="A76" s="1291" t="s">
        <v>64</v>
      </c>
      <c r="B76" s="1291" t="s">
        <v>648</v>
      </c>
      <c r="C76" s="1305" t="s">
        <v>652</v>
      </c>
      <c r="D76" s="1306">
        <v>403759.5</v>
      </c>
      <c r="E76" s="443"/>
      <c r="F76" s="324"/>
    </row>
    <row r="77" spans="1:6">
      <c r="A77" s="1291" t="s">
        <v>65</v>
      </c>
      <c r="B77" s="1291" t="s">
        <v>647</v>
      </c>
      <c r="C77" s="1305" t="s">
        <v>653</v>
      </c>
      <c r="D77" s="1306">
        <v>231570</v>
      </c>
      <c r="E77" s="443"/>
      <c r="F77" s="324"/>
    </row>
    <row r="78" spans="1:6">
      <c r="A78" s="1286" t="s">
        <v>65</v>
      </c>
      <c r="B78" s="1286" t="s">
        <v>648</v>
      </c>
      <c r="C78" s="1286" t="s">
        <v>654</v>
      </c>
      <c r="D78" s="1307">
        <v>52556</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123919</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1967.0893318013391</v>
      </c>
      <c r="C91" s="324"/>
      <c r="D91" s="324"/>
      <c r="E91" s="324"/>
      <c r="F91" s="324"/>
    </row>
    <row r="92" spans="1:6">
      <c r="A92" s="1286" t="s">
        <v>68</v>
      </c>
      <c r="B92" s="1287">
        <v>398.03181228330686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2060</v>
      </c>
      <c r="C97" s="324"/>
      <c r="D97" s="324"/>
      <c r="E97" s="324"/>
      <c r="F97" s="324"/>
    </row>
    <row r="98" spans="1:6">
      <c r="A98" s="1291" t="s">
        <v>71</v>
      </c>
      <c r="B98" s="1292">
        <v>2</v>
      </c>
      <c r="C98" s="324"/>
      <c r="D98" s="324"/>
      <c r="E98" s="324"/>
      <c r="F98" s="324"/>
    </row>
    <row r="99" spans="1:6">
      <c r="A99" s="1291" t="s">
        <v>72</v>
      </c>
      <c r="B99" s="1292">
        <v>50</v>
      </c>
      <c r="C99" s="324"/>
      <c r="D99" s="324"/>
      <c r="E99" s="324"/>
      <c r="F99" s="324"/>
    </row>
    <row r="100" spans="1:6">
      <c r="A100" s="1291" t="s">
        <v>73</v>
      </c>
      <c r="B100" s="1292">
        <v>144</v>
      </c>
      <c r="C100" s="324"/>
      <c r="D100" s="324"/>
      <c r="E100" s="324"/>
      <c r="F100" s="324"/>
    </row>
    <row r="101" spans="1:6">
      <c r="A101" s="1291" t="s">
        <v>74</v>
      </c>
      <c r="B101" s="1292">
        <v>41</v>
      </c>
      <c r="C101" s="324"/>
      <c r="D101" s="324"/>
      <c r="E101" s="324"/>
      <c r="F101" s="324"/>
    </row>
    <row r="102" spans="1:6">
      <c r="A102" s="1291" t="s">
        <v>75</v>
      </c>
      <c r="B102" s="1292">
        <v>32</v>
      </c>
      <c r="C102" s="324"/>
      <c r="D102" s="324"/>
      <c r="E102" s="324"/>
      <c r="F102" s="324"/>
    </row>
    <row r="103" spans="1:6">
      <c r="A103" s="1291" t="s">
        <v>76</v>
      </c>
      <c r="B103" s="1292">
        <v>94</v>
      </c>
      <c r="C103" s="324"/>
      <c r="D103" s="324"/>
      <c r="E103" s="324"/>
      <c r="F103" s="324"/>
    </row>
    <row r="104" spans="1:6">
      <c r="A104" s="1291" t="s">
        <v>77</v>
      </c>
      <c r="B104" s="1292">
        <v>824</v>
      </c>
      <c r="C104" s="324"/>
      <c r="D104" s="324"/>
      <c r="E104" s="324"/>
      <c r="F104" s="324"/>
    </row>
    <row r="105" spans="1:6">
      <c r="A105" s="1286" t="s">
        <v>78</v>
      </c>
      <c r="B105" s="129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11</v>
      </c>
      <c r="C123" s="1292">
        <v>13</v>
      </c>
      <c r="D123" s="324"/>
      <c r="E123" s="324"/>
      <c r="F123" s="324"/>
    </row>
    <row r="124" spans="1:6" s="43" customFormat="1">
      <c r="A124" s="1293" t="s">
        <v>88</v>
      </c>
      <c r="B124" s="1314">
        <v>0</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64</v>
      </c>
      <c r="C129" s="324"/>
      <c r="D129" s="324"/>
      <c r="E129" s="324"/>
      <c r="F129" s="324"/>
    </row>
    <row r="130" spans="1:6">
      <c r="A130" s="1291" t="s">
        <v>289</v>
      </c>
      <c r="B130" s="1292">
        <v>2</v>
      </c>
      <c r="C130" s="324"/>
      <c r="D130" s="324"/>
      <c r="E130" s="324"/>
      <c r="F130" s="324"/>
    </row>
    <row r="131" spans="1:6">
      <c r="A131" s="1291" t="s">
        <v>290</v>
      </c>
      <c r="B131" s="1292">
        <v>1</v>
      </c>
      <c r="C131" s="324"/>
      <c r="D131" s="324"/>
      <c r="E131" s="324"/>
      <c r="F131" s="324"/>
    </row>
    <row r="132" spans="1:6">
      <c r="A132" s="1286" t="s">
        <v>291</v>
      </c>
      <c r="B132" s="1287">
        <v>9</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30609.195233700902</v>
      </c>
      <c r="C3" s="43" t="s">
        <v>169</v>
      </c>
      <c r="D3" s="43"/>
      <c r="E3" s="154"/>
      <c r="F3" s="43"/>
      <c r="G3" s="43"/>
      <c r="H3" s="43"/>
      <c r="I3" s="43"/>
      <c r="J3" s="43"/>
      <c r="K3" s="96"/>
    </row>
    <row r="4" spans="1:11">
      <c r="A4" s="352" t="s">
        <v>170</v>
      </c>
      <c r="B4" s="49">
        <f>IF(ISERROR('SEAP template'!B78+'SEAP template'!C78),0,'SEAP template'!B78+'SEAP template'!C78)</f>
        <v>11452.871144084644</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2159.677058823529</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0.20886614737226888</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3085.2529411764704</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12982.499999999998</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0.23764705882352943</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430.339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430.339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0.20886614737226888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89.883248994034815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12883.8848012081</v>
      </c>
      <c r="C5" s="17">
        <f>IF(ISERROR('Eigen informatie GS &amp; warmtenet'!B57),0,'Eigen informatie GS &amp; warmtenet'!B57)</f>
        <v>0</v>
      </c>
      <c r="D5" s="30">
        <f>(SUM(HH_hh_gas_kWh,HH_rest_gas_kWh)/1000)*0.902</f>
        <v>44457.183405048439</v>
      </c>
      <c r="E5" s="17">
        <f>B32*B41</f>
        <v>556.07519926407178</v>
      </c>
      <c r="F5" s="17">
        <f>B36*B45</f>
        <v>14088.452931689819</v>
      </c>
      <c r="G5" s="18"/>
      <c r="H5" s="17"/>
      <c r="I5" s="17"/>
      <c r="J5" s="17">
        <f>B35*B44+C35*C44</f>
        <v>67.792054906814556</v>
      </c>
      <c r="K5" s="17"/>
      <c r="L5" s="17"/>
      <c r="M5" s="17"/>
      <c r="N5" s="17">
        <f>B34*B43+C34*C43</f>
        <v>5171.9677526103778</v>
      </c>
      <c r="O5" s="17">
        <f>B52*B53*B54</f>
        <v>121.94000000000001</v>
      </c>
      <c r="P5" s="17">
        <f>B60*B61*B62/1000-B60*B61*B62/1000/B63</f>
        <v>381.33333333333337</v>
      </c>
    </row>
    <row r="6" spans="1:16">
      <c r="A6" s="16" t="s">
        <v>613</v>
      </c>
      <c r="B6" s="756">
        <f>kWh_PV_kleiner_dan_10kW</f>
        <v>1967.0893318013391</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14850.974133009438</v>
      </c>
      <c r="C8" s="21">
        <f>C5</f>
        <v>0</v>
      </c>
      <c r="D8" s="21">
        <f>D5</f>
        <v>44457.183405048439</v>
      </c>
      <c r="E8" s="21">
        <f>E5</f>
        <v>556.07519926407178</v>
      </c>
      <c r="F8" s="21">
        <f>F5</f>
        <v>14088.452931689819</v>
      </c>
      <c r="G8" s="21"/>
      <c r="H8" s="21"/>
      <c r="I8" s="21"/>
      <c r="J8" s="21">
        <f>J5</f>
        <v>67.792054906814556</v>
      </c>
      <c r="K8" s="21"/>
      <c r="L8" s="21">
        <f>L5</f>
        <v>0</v>
      </c>
      <c r="M8" s="21">
        <f>M5</f>
        <v>0</v>
      </c>
      <c r="N8" s="21">
        <f>N5</f>
        <v>5171.9677526103778</v>
      </c>
      <c r="O8" s="21">
        <f>O5</f>
        <v>121.94000000000001</v>
      </c>
      <c r="P8" s="21">
        <f>P5</f>
        <v>381.33333333333337</v>
      </c>
    </row>
    <row r="9" spans="1:16">
      <c r="B9" s="19"/>
      <c r="C9" s="19"/>
      <c r="D9" s="254"/>
      <c r="E9" s="19"/>
      <c r="F9" s="19"/>
      <c r="G9" s="19"/>
      <c r="H9" s="19"/>
      <c r="I9" s="19"/>
      <c r="J9" s="19"/>
      <c r="K9" s="19"/>
      <c r="L9" s="19"/>
      <c r="M9" s="19"/>
      <c r="N9" s="19"/>
      <c r="O9" s="19"/>
      <c r="P9" s="19"/>
    </row>
    <row r="10" spans="1:16">
      <c r="A10" s="24" t="s">
        <v>213</v>
      </c>
      <c r="B10" s="25">
        <f ca="1">'EF ele_warmte'!B12</f>
        <v>0.20886614737226888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3101.8657518869027</v>
      </c>
      <c r="C12" s="23">
        <f ca="1">C10*C8</f>
        <v>0</v>
      </c>
      <c r="D12" s="23">
        <f>D8*D10</f>
        <v>8980.3510478197859</v>
      </c>
      <c r="E12" s="23">
        <f>E10*E8</f>
        <v>126.2290702329443</v>
      </c>
      <c r="F12" s="23">
        <f>F10*F8</f>
        <v>3761.6169327611819</v>
      </c>
      <c r="G12" s="23"/>
      <c r="H12" s="23"/>
      <c r="I12" s="23"/>
      <c r="J12" s="23">
        <f>J10*J8</f>
        <v>23.998387437012351</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3693</v>
      </c>
      <c r="C26" s="36"/>
      <c r="D26" s="225"/>
    </row>
    <row r="27" spans="1:5" s="15" customFormat="1">
      <c r="A27" s="227" t="s">
        <v>768</v>
      </c>
      <c r="B27" s="37">
        <f>SUM(HH_hh_gas_aantal,HH_rest_gas_aantal)</f>
        <v>2860</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2717</v>
      </c>
      <c r="C31" s="34" t="s">
        <v>110</v>
      </c>
      <c r="D31" s="171"/>
    </row>
    <row r="32" spans="1:5">
      <c r="A32" s="168" t="s">
        <v>72</v>
      </c>
      <c r="B32" s="33">
        <f>IF((B21*($B$26-($B$27-0.05*$B$27)-$B$60))&lt;0,0,B21*($B$26-($B$27-0.05*$B$27)-$B$60))</f>
        <v>10.516472550215248</v>
      </c>
      <c r="C32" s="34" t="s">
        <v>110</v>
      </c>
      <c r="D32" s="171"/>
    </row>
    <row r="33" spans="1:6">
      <c r="A33" s="168" t="s">
        <v>73</v>
      </c>
      <c r="B33" s="33">
        <f>IF((B22*($B$26-($B$27-0.05*$B$27)-$B$60))&lt;0,0,B22*($B$26-($B$27-0.05*$B$27)-$B$60))</f>
        <v>218.64629572959248</v>
      </c>
      <c r="C33" s="34" t="s">
        <v>110</v>
      </c>
      <c r="D33" s="171"/>
    </row>
    <row r="34" spans="1:6">
      <c r="A34" s="168" t="s">
        <v>74</v>
      </c>
      <c r="B34" s="33">
        <f>IF((B24*($B$26-($B$27-0.05*$B$27)-$B$60))&lt;0,0,B24*($B$26-($B$27-0.05*$B$27)-$B$60))</f>
        <v>43.480975487640393</v>
      </c>
      <c r="C34" s="33">
        <f>B26*C24</f>
        <v>755.94067402146209</v>
      </c>
      <c r="D34" s="230"/>
    </row>
    <row r="35" spans="1:6">
      <c r="A35" s="168" t="s">
        <v>76</v>
      </c>
      <c r="B35" s="33">
        <f>IF((B19*($B$26-($B$27-0.05*$B$27)-$B$60))&lt;0,0,B19*($B$26-($B$27-0.05*$B$27)-$B$60))</f>
        <v>7.9598357221530955</v>
      </c>
      <c r="C35" s="33">
        <f>B35/2</f>
        <v>3.9799178610765478</v>
      </c>
      <c r="D35" s="230"/>
    </row>
    <row r="36" spans="1:6">
      <c r="A36" s="168" t="s">
        <v>77</v>
      </c>
      <c r="B36" s="33">
        <f>IF((B18*($B$26-($B$27-0.05*$B$27)-$B$60))&lt;0,0,B18*($B$26-($B$27-0.05*$B$27)-$B$60))</f>
        <v>675.3964205103988</v>
      </c>
      <c r="C36" s="34" t="s">
        <v>110</v>
      </c>
      <c r="D36" s="171"/>
    </row>
    <row r="37" spans="1:6">
      <c r="A37" s="168" t="s">
        <v>78</v>
      </c>
      <c r="B37" s="33">
        <f>B60</f>
        <v>20</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78</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20</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8873.2281643909009</v>
      </c>
      <c r="C5" s="17">
        <f>IF(ISERROR('Eigen informatie GS &amp; warmtenet'!B58),0,'Eigen informatie GS &amp; warmtenet'!B58)</f>
        <v>0</v>
      </c>
      <c r="D5" s="30">
        <f>SUM(D6:D12)</f>
        <v>11464.324386439155</v>
      </c>
      <c r="E5" s="17">
        <f>SUM(E6:E12)</f>
        <v>162.18678967285575</v>
      </c>
      <c r="F5" s="17">
        <f>SUM(F6:F12)</f>
        <v>1613.2867545283175</v>
      </c>
      <c r="G5" s="18"/>
      <c r="H5" s="17"/>
      <c r="I5" s="17"/>
      <c r="J5" s="17">
        <f>SUM(J6:J12)</f>
        <v>2.6596535468873465E-2</v>
      </c>
      <c r="K5" s="17"/>
      <c r="L5" s="17"/>
      <c r="M5" s="17"/>
      <c r="N5" s="17">
        <f>SUM(N6:N12)</f>
        <v>1052.3605355121279</v>
      </c>
      <c r="O5" s="17">
        <f>B38*B39*B40</f>
        <v>3.1266666666666669</v>
      </c>
      <c r="P5" s="17">
        <f>B46*B47*B48/1000-B46*B47*B48/1000/B49</f>
        <v>19.066666666666666</v>
      </c>
      <c r="R5" s="32"/>
    </row>
    <row r="6" spans="1:18">
      <c r="A6" s="32" t="s">
        <v>53</v>
      </c>
      <c r="B6" s="37">
        <f>B26</f>
        <v>1459.3369549750701</v>
      </c>
      <c r="C6" s="33"/>
      <c r="D6" s="37">
        <f>IF(ISERROR(TER_kantoor_gas_kWh/1000),0,TER_kantoor_gas_kWh/1000)*0.902</f>
        <v>3141.7796214894174</v>
      </c>
      <c r="E6" s="33">
        <f>$C$26*'E Balans VL '!I12/100/3.6*1000000</f>
        <v>9.1466386659164855E-3</v>
      </c>
      <c r="F6" s="33">
        <f>$C$26*('E Balans VL '!L12+'E Balans VL '!N12)/100/3.6*1000000</f>
        <v>219.29756656910223</v>
      </c>
      <c r="G6" s="34"/>
      <c r="H6" s="33"/>
      <c r="I6" s="33"/>
      <c r="J6" s="33">
        <f>$C$26*('E Balans VL '!D12+'E Balans VL '!E12)/100/3.6*1000000</f>
        <v>0</v>
      </c>
      <c r="K6" s="33"/>
      <c r="L6" s="33"/>
      <c r="M6" s="33"/>
      <c r="N6" s="33">
        <f>$C$26*'E Balans VL '!Y12/100/3.6*1000000</f>
        <v>1.3956394269846846</v>
      </c>
      <c r="O6" s="33"/>
      <c r="P6" s="33"/>
      <c r="R6" s="32"/>
    </row>
    <row r="7" spans="1:18">
      <c r="A7" s="32" t="s">
        <v>52</v>
      </c>
      <c r="B7" s="37">
        <f t="shared" ref="B7:B12" si="0">B27</f>
        <v>877.98571527292404</v>
      </c>
      <c r="C7" s="33"/>
      <c r="D7" s="37">
        <f>IF(ISERROR(TER_horeca_gas_kWh/1000),0,TER_horeca_gas_kWh/1000)*0.902</f>
        <v>1020.5583844919015</v>
      </c>
      <c r="E7" s="33">
        <f>$C$27*'E Balans VL '!I9/100/3.6*1000000</f>
        <v>12.572609198205905</v>
      </c>
      <c r="F7" s="33">
        <f>$C$27*('E Balans VL '!L9+'E Balans VL '!N9)/100/3.6*1000000</f>
        <v>111.18194863803858</v>
      </c>
      <c r="G7" s="34"/>
      <c r="H7" s="33"/>
      <c r="I7" s="33"/>
      <c r="J7" s="33">
        <f>$C$27*('E Balans VL '!D9+'E Balans VL '!E9)/100/3.6*1000000</f>
        <v>0</v>
      </c>
      <c r="K7" s="33"/>
      <c r="L7" s="33"/>
      <c r="M7" s="33"/>
      <c r="N7" s="33">
        <f>$C$27*'E Balans VL '!Y9/100/3.6*1000000</f>
        <v>0.2524015352176216</v>
      </c>
      <c r="O7" s="33"/>
      <c r="P7" s="33"/>
      <c r="R7" s="32"/>
    </row>
    <row r="8" spans="1:18">
      <c r="A8" s="6" t="s">
        <v>51</v>
      </c>
      <c r="B8" s="37">
        <f t="shared" si="0"/>
        <v>3374.48475045138</v>
      </c>
      <c r="C8" s="33"/>
      <c r="D8" s="37">
        <f>IF(ISERROR(TER_handel_gas_kWh/1000),0,TER_handel_gas_kWh/1000)*0.902</f>
        <v>1291.4848080833633</v>
      </c>
      <c r="E8" s="33">
        <f>$C$28*'E Balans VL '!I13/100/3.6*1000000</f>
        <v>122.39214577605505</v>
      </c>
      <c r="F8" s="33">
        <f>$C$28*('E Balans VL '!L13+'E Balans VL '!N13)/100/3.6*1000000</f>
        <v>649.95993176742047</v>
      </c>
      <c r="G8" s="34"/>
      <c r="H8" s="33"/>
      <c r="I8" s="33"/>
      <c r="J8" s="33">
        <f>$C$28*('E Balans VL '!D13+'E Balans VL '!E13)/100/3.6*1000000</f>
        <v>0</v>
      </c>
      <c r="K8" s="33"/>
      <c r="L8" s="33"/>
      <c r="M8" s="33"/>
      <c r="N8" s="33">
        <f>$C$28*'E Balans VL '!Y13/100/3.6*1000000</f>
        <v>4.6744378136883071</v>
      </c>
      <c r="O8" s="33"/>
      <c r="P8" s="33"/>
      <c r="R8" s="32"/>
    </row>
    <row r="9" spans="1:18">
      <c r="A9" s="32" t="s">
        <v>50</v>
      </c>
      <c r="B9" s="37">
        <f t="shared" si="0"/>
        <v>74.065285368799408</v>
      </c>
      <c r="C9" s="33"/>
      <c r="D9" s="37">
        <f>IF(ISERROR(TER_gezond_gas_kWh/1000),0,TER_gezond_gas_kWh/1000)*0.902</f>
        <v>620.16516548272989</v>
      </c>
      <c r="E9" s="33">
        <f>$C$29*'E Balans VL '!I10/100/3.6*1000000</f>
        <v>4.637218126669636E-3</v>
      </c>
      <c r="F9" s="33">
        <f>$C$29*('E Balans VL '!L10+'E Balans VL '!N10)/100/3.6*1000000</f>
        <v>11.00262364885292</v>
      </c>
      <c r="G9" s="34"/>
      <c r="H9" s="33"/>
      <c r="I9" s="33"/>
      <c r="J9" s="33">
        <f>$C$29*('E Balans VL '!D10+'E Balans VL '!E10)/100/3.6*1000000</f>
        <v>0</v>
      </c>
      <c r="K9" s="33"/>
      <c r="L9" s="33"/>
      <c r="M9" s="33"/>
      <c r="N9" s="33">
        <f>$C$29*'E Balans VL '!Y10/100/3.6*1000000</f>
        <v>1.1456489807737273</v>
      </c>
      <c r="O9" s="33"/>
      <c r="P9" s="33"/>
      <c r="R9" s="32"/>
    </row>
    <row r="10" spans="1:18">
      <c r="A10" s="32" t="s">
        <v>49</v>
      </c>
      <c r="B10" s="37">
        <f t="shared" si="0"/>
        <v>991.48911860467706</v>
      </c>
      <c r="C10" s="33"/>
      <c r="D10" s="37">
        <f>IF(ISERROR(TER_ander_gas_kWh/1000),0,TER_ander_gas_kWh/1000)*0.902</f>
        <v>2550.8834577889634</v>
      </c>
      <c r="E10" s="33">
        <f>$C$30*'E Balans VL '!I14/100/3.6*1000000</f>
        <v>1.1818195995422662</v>
      </c>
      <c r="F10" s="33">
        <f>$C$30*('E Balans VL '!L14+'E Balans VL '!N14)/100/3.6*1000000</f>
        <v>259.41763157116071</v>
      </c>
      <c r="G10" s="34"/>
      <c r="H10" s="33"/>
      <c r="I10" s="33"/>
      <c r="J10" s="33">
        <f>$C$30*('E Balans VL '!D14+'E Balans VL '!E14)/100/3.6*1000000</f>
        <v>2.1521342234877321E-2</v>
      </c>
      <c r="K10" s="33"/>
      <c r="L10" s="33"/>
      <c r="M10" s="33"/>
      <c r="N10" s="33">
        <f>$C$30*'E Balans VL '!Y14/100/3.6*1000000</f>
        <v>841.9482981218631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2095.8663397180503</v>
      </c>
      <c r="C12" s="33"/>
      <c r="D12" s="37">
        <f>IF(ISERROR(TER_rest_gas_kWh/1000),0,TER_rest_gas_kWh/1000)*0.902</f>
        <v>2839.4529491027783</v>
      </c>
      <c r="E12" s="33">
        <f>$C$32*'E Balans VL '!I8/100/3.6*1000000</f>
        <v>26.026431242259935</v>
      </c>
      <c r="F12" s="33">
        <f>$C$32*('E Balans VL '!L8+'E Balans VL '!N8)/100/3.6*1000000</f>
        <v>362.42705233374255</v>
      </c>
      <c r="G12" s="34"/>
      <c r="H12" s="33"/>
      <c r="I12" s="33"/>
      <c r="J12" s="33">
        <f>$C$32*('E Balans VL '!D8+'E Balans VL '!E8)/100/3.6*1000000</f>
        <v>5.0751932339961458E-3</v>
      </c>
      <c r="K12" s="33"/>
      <c r="L12" s="33"/>
      <c r="M12" s="33"/>
      <c r="N12" s="33">
        <f>$C$32*'E Balans VL '!Y8/100/3.6*1000000</f>
        <v>202.94410963360036</v>
      </c>
      <c r="O12" s="33"/>
      <c r="P12" s="33"/>
      <c r="R12" s="32"/>
    </row>
    <row r="13" spans="1:18">
      <c r="A13" s="16" t="s">
        <v>480</v>
      </c>
      <c r="B13" s="243">
        <f ca="1">'lokale energieproductie'!N39+'lokale energieproductie'!N32</f>
        <v>24.75</v>
      </c>
      <c r="C13" s="243">
        <f ca="1">'lokale energieproductie'!O39+'lokale energieproductie'!O32</f>
        <v>35.357142857142861</v>
      </c>
      <c r="D13" s="302">
        <f ca="1">('lokale energieproductie'!P32+'lokale energieproductie'!P39)*(-1)</f>
        <v>-70.714285714285722</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8897.9781643909009</v>
      </c>
      <c r="C16" s="21">
        <f t="shared" ca="1" si="1"/>
        <v>35.357142857142861</v>
      </c>
      <c r="D16" s="21">
        <f t="shared" ca="1" si="1"/>
        <v>11393.610100724869</v>
      </c>
      <c r="E16" s="21">
        <f t="shared" si="1"/>
        <v>162.18678967285575</v>
      </c>
      <c r="F16" s="21">
        <f t="shared" ca="1" si="1"/>
        <v>1613.2867545283175</v>
      </c>
      <c r="G16" s="21">
        <f t="shared" si="1"/>
        <v>0</v>
      </c>
      <c r="H16" s="21">
        <f t="shared" si="1"/>
        <v>0</v>
      </c>
      <c r="I16" s="21">
        <f t="shared" si="1"/>
        <v>0</v>
      </c>
      <c r="J16" s="21">
        <f t="shared" si="1"/>
        <v>2.6596535468873465E-2</v>
      </c>
      <c r="K16" s="21">
        <f t="shared" si="1"/>
        <v>0</v>
      </c>
      <c r="L16" s="21">
        <f t="shared" ca="1" si="1"/>
        <v>0</v>
      </c>
      <c r="M16" s="21">
        <f t="shared" si="1"/>
        <v>0</v>
      </c>
      <c r="N16" s="21">
        <f t="shared" ca="1" si="1"/>
        <v>1052.3605355121279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0.20886614737226888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1858.4864185989004</v>
      </c>
      <c r="C20" s="23">
        <f t="shared" ref="C20:P20" ca="1" si="2">C16*C18</f>
        <v>8.4025210084033635</v>
      </c>
      <c r="D20" s="23">
        <f t="shared" ca="1" si="2"/>
        <v>2301.5092403464237</v>
      </c>
      <c r="E20" s="23">
        <f t="shared" si="2"/>
        <v>36.816401255738256</v>
      </c>
      <c r="F20" s="23">
        <f t="shared" ca="1" si="2"/>
        <v>430.74756345906081</v>
      </c>
      <c r="G20" s="23">
        <f t="shared" si="2"/>
        <v>0</v>
      </c>
      <c r="H20" s="23">
        <f t="shared" si="2"/>
        <v>0</v>
      </c>
      <c r="I20" s="23">
        <f t="shared" si="2"/>
        <v>0</v>
      </c>
      <c r="J20" s="23">
        <f t="shared" si="2"/>
        <v>9.4151735559812062E-3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1459.3369549750701</v>
      </c>
      <c r="C26" s="39">
        <f>IF(ISERROR(B26*3.6/1000000/'E Balans VL '!Z12*100),0,B26*3.6/1000000/'E Balans VL '!Z12*100)</f>
        <v>3.0848071451702392E-2</v>
      </c>
      <c r="D26" s="233" t="s">
        <v>732</v>
      </c>
      <c r="F26" s="6"/>
    </row>
    <row r="27" spans="1:18">
      <c r="A27" s="228" t="s">
        <v>52</v>
      </c>
      <c r="B27" s="33">
        <f>IF(ISERROR(TER_horeca_ele_kWh/1000),0,TER_horeca_ele_kWh/1000)</f>
        <v>877.98571527292404</v>
      </c>
      <c r="C27" s="39">
        <f>IF(ISERROR(B27*3.6/1000000/'E Balans VL '!Z9*100),0,B27*3.6/1000000/'E Balans VL '!Z9*100)</f>
        <v>6.921128669298221E-2</v>
      </c>
      <c r="D27" s="233" t="s">
        <v>732</v>
      </c>
      <c r="F27" s="6"/>
    </row>
    <row r="28" spans="1:18">
      <c r="A28" s="168" t="s">
        <v>51</v>
      </c>
      <c r="B28" s="33">
        <f>IF(ISERROR(TER_handel_ele_kWh/1000),0,TER_handel_ele_kWh/1000)</f>
        <v>3374.48475045138</v>
      </c>
      <c r="C28" s="39">
        <f>IF(ISERROR(B28*3.6/1000000/'E Balans VL '!Z13*100),0,B28*3.6/1000000/'E Balans VL '!Z13*100)</f>
        <v>9.7941181904313793E-2</v>
      </c>
      <c r="D28" s="233" t="s">
        <v>732</v>
      </c>
      <c r="F28" s="6"/>
    </row>
    <row r="29" spans="1:18">
      <c r="A29" s="228" t="s">
        <v>50</v>
      </c>
      <c r="B29" s="33">
        <f>IF(ISERROR(TER_gezond_ele_kWh/1000),0,TER_gezond_ele_kWh/1000)</f>
        <v>74.065285368799408</v>
      </c>
      <c r="C29" s="39">
        <f>IF(ISERROR(B29*3.6/1000000/'E Balans VL '!Z10*100),0,B29*3.6/1000000/'E Balans VL '!Z10*100)</f>
        <v>7.8002907334228941E-3</v>
      </c>
      <c r="D29" s="233" t="s">
        <v>732</v>
      </c>
      <c r="F29" s="6"/>
    </row>
    <row r="30" spans="1:18">
      <c r="A30" s="228" t="s">
        <v>49</v>
      </c>
      <c r="B30" s="33">
        <f>IF(ISERROR(TER_ander_ele_kWh/1000),0,TER_ander_ele_kWh/1000)</f>
        <v>991.48911860467706</v>
      </c>
      <c r="C30" s="39">
        <f>IF(ISERROR(B30*3.6/1000000/'E Balans VL '!Z14*100),0,B30*3.6/1000000/'E Balans VL '!Z14*100)</f>
        <v>7.3132452738646311E-2</v>
      </c>
      <c r="D30" s="233" t="s">
        <v>732</v>
      </c>
      <c r="F30" s="6"/>
    </row>
    <row r="31" spans="1:18">
      <c r="A31" s="228" t="s">
        <v>54</v>
      </c>
      <c r="B31" s="33">
        <f>IF(ISERROR(TER_onderwijs_ele_kWh/1000),0,TER_onderwijs_ele_kWh/1000)</f>
        <v>0</v>
      </c>
      <c r="C31" s="39">
        <f>IF(ISERROR(B31*3.6/1000000/'E Balans VL '!Z11*100),0,B31*3.6/1000000/'E Balans VL '!Z11*100)</f>
        <v>0</v>
      </c>
      <c r="D31" s="233" t="s">
        <v>732</v>
      </c>
    </row>
    <row r="32" spans="1:18">
      <c r="A32" s="228" t="s">
        <v>254</v>
      </c>
      <c r="B32" s="33">
        <f>IF(ISERROR(TER_rest_ele_kWh/1000),0,TER_rest_ele_kWh/1000)</f>
        <v>2095.8663397180503</v>
      </c>
      <c r="C32" s="39">
        <f>IF(ISERROR(B32*3.6/1000000/'E Balans VL '!Z8*100),0,B32*3.6/1000000/'E Balans VL '!Z8*100)</f>
        <v>1.7246197996109162E-2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4441.3966594809281</v>
      </c>
      <c r="C5" s="17">
        <f>IF(ISERROR('Eigen informatie GS &amp; warmtenet'!B59),0,'Eigen informatie GS &amp; warmtenet'!B59)</f>
        <v>0</v>
      </c>
      <c r="D5" s="30">
        <f>SUM(D6:D15)</f>
        <v>2141.4313736803792</v>
      </c>
      <c r="E5" s="17">
        <f>SUM(E6:E15)</f>
        <v>352.52517886842054</v>
      </c>
      <c r="F5" s="17">
        <f>SUM(F6:F15)</f>
        <v>1157.0190634420464</v>
      </c>
      <c r="G5" s="18"/>
      <c r="H5" s="17"/>
      <c r="I5" s="17"/>
      <c r="J5" s="17">
        <f>SUM(J6:J15)</f>
        <v>11.765456052999452</v>
      </c>
      <c r="K5" s="17"/>
      <c r="L5" s="17"/>
      <c r="M5" s="17"/>
      <c r="N5" s="17">
        <f>SUM(N6:N15)</f>
        <v>303.73568311970149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220.77053124493702</v>
      </c>
      <c r="C8" s="33"/>
      <c r="D8" s="37">
        <f>IF( ISERROR(IND_metaal_Gas_kWH/1000),0,IND_metaal_Gas_kWH/1000)*0.902</f>
        <v>286.45737474816633</v>
      </c>
      <c r="E8" s="33">
        <f>C30*'E Balans VL '!I18/100/3.6*1000000</f>
        <v>2.0297718125903699</v>
      </c>
      <c r="F8" s="33">
        <f>C30*'E Balans VL '!L18/100/3.6*1000000+C30*'E Balans VL '!N18/100/3.6*1000000</f>
        <v>20.700925635769512</v>
      </c>
      <c r="G8" s="34"/>
      <c r="H8" s="33"/>
      <c r="I8" s="33"/>
      <c r="J8" s="40">
        <f>C30*'E Balans VL '!D18/100/3.6*1000000+C30*'E Balans VL '!E18/100/3.6*1000000</f>
        <v>0</v>
      </c>
      <c r="K8" s="33"/>
      <c r="L8" s="33"/>
      <c r="M8" s="33"/>
      <c r="N8" s="33">
        <f>C30*'E Balans VL '!Y18/100/3.6*1000000</f>
        <v>3.1496564668756477</v>
      </c>
      <c r="O8" s="33"/>
      <c r="P8" s="33"/>
      <c r="R8" s="32"/>
    </row>
    <row r="9" spans="1:18">
      <c r="A9" s="6" t="s">
        <v>32</v>
      </c>
      <c r="B9" s="37">
        <f t="shared" si="0"/>
        <v>575.64448363914096</v>
      </c>
      <c r="C9" s="33"/>
      <c r="D9" s="37">
        <f>IF( ISERROR(IND_andere_gas_kWh/1000),0,IND_andere_gas_kWh/1000)*0.902</f>
        <v>684.33729978471433</v>
      </c>
      <c r="E9" s="33">
        <f>C31*'E Balans VL '!I19/100/3.6*1000000</f>
        <v>168.27208904402116</v>
      </c>
      <c r="F9" s="33">
        <f>C31*'E Balans VL '!L19/100/3.6*1000000+C31*'E Balans VL '!N19/100/3.6*1000000</f>
        <v>462.57391488778188</v>
      </c>
      <c r="G9" s="34"/>
      <c r="H9" s="33"/>
      <c r="I9" s="33"/>
      <c r="J9" s="40">
        <f>C31*'E Balans VL '!D19/100/3.6*1000000+C31*'E Balans VL '!E19/100/3.6*1000000</f>
        <v>0</v>
      </c>
      <c r="K9" s="33"/>
      <c r="L9" s="33"/>
      <c r="M9" s="33"/>
      <c r="N9" s="33">
        <f>C31*'E Balans VL '!Y19/100/3.6*1000000</f>
        <v>45.152771474236275</v>
      </c>
      <c r="O9" s="33"/>
      <c r="P9" s="33"/>
      <c r="R9" s="32"/>
    </row>
    <row r="10" spans="1:18">
      <c r="A10" s="6" t="s">
        <v>40</v>
      </c>
      <c r="B10" s="37">
        <f t="shared" si="0"/>
        <v>358.523949888571</v>
      </c>
      <c r="C10" s="33"/>
      <c r="D10" s="37">
        <f>IF( ISERROR(IND_voed_gas_kWh/1000),0,IND_voed_gas_kWh/1000)*0.902</f>
        <v>226.72593987116292</v>
      </c>
      <c r="E10" s="33">
        <f>C32*'E Balans VL '!I20/100/3.6*1000000</f>
        <v>0.75846297496895498</v>
      </c>
      <c r="F10" s="33">
        <f>C32*'E Balans VL '!L20/100/3.6*1000000+C32*'E Balans VL '!N20/100/3.6*1000000</f>
        <v>22.795318955390883</v>
      </c>
      <c r="G10" s="34"/>
      <c r="H10" s="33"/>
      <c r="I10" s="33"/>
      <c r="J10" s="40">
        <f>C32*'E Balans VL '!D20/100/3.6*1000000+C32*'E Balans VL '!E20/100/3.6*1000000</f>
        <v>0</v>
      </c>
      <c r="K10" s="33"/>
      <c r="L10" s="33"/>
      <c r="M10" s="33"/>
      <c r="N10" s="33">
        <f>C32*'E Balans VL '!Y20/100/3.6*1000000</f>
        <v>24.741690543098475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3286.4576947082796</v>
      </c>
      <c r="C15" s="33"/>
      <c r="D15" s="37">
        <f>IF( ISERROR(IND_rest_gas_kWh/1000),0,IND_rest_gas_kWh/1000)*0.902</f>
        <v>943.91075927633585</v>
      </c>
      <c r="E15" s="33">
        <f>C37*'E Balans VL '!I15/100/3.6*1000000</f>
        <v>181.46485503684005</v>
      </c>
      <c r="F15" s="33">
        <f>C37*'E Balans VL '!L15/100/3.6*1000000+C37*'E Balans VL '!N15/100/3.6*1000000</f>
        <v>650.94890396310427</v>
      </c>
      <c r="G15" s="34"/>
      <c r="H15" s="33"/>
      <c r="I15" s="33"/>
      <c r="J15" s="40">
        <f>C37*'E Balans VL '!D15/100/3.6*1000000+C37*'E Balans VL '!E15/100/3.6*1000000</f>
        <v>11.765456052999452</v>
      </c>
      <c r="K15" s="33"/>
      <c r="L15" s="33"/>
      <c r="M15" s="33"/>
      <c r="N15" s="33">
        <f>C37*'E Balans VL '!Y15/100/3.6*1000000</f>
        <v>230.69156463549109</v>
      </c>
      <c r="O15" s="33"/>
      <c r="P15" s="33"/>
      <c r="R15" s="32"/>
    </row>
    <row r="16" spans="1:18">
      <c r="A16" s="16" t="s">
        <v>480</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4441.3966594809281</v>
      </c>
      <c r="C18" s="21">
        <f>C5+C16</f>
        <v>0</v>
      </c>
      <c r="D18" s="21">
        <f>MAX((D5+D16),0)</f>
        <v>2141.4313736803792</v>
      </c>
      <c r="E18" s="21">
        <f>MAX((E5+E16),0)</f>
        <v>352.52517886842054</v>
      </c>
      <c r="F18" s="21">
        <f>MAX((F5+F16),0)</f>
        <v>1157.0190634420464</v>
      </c>
      <c r="G18" s="21"/>
      <c r="H18" s="21"/>
      <c r="I18" s="21"/>
      <c r="J18" s="21">
        <f>MAX((J5+J16),0)</f>
        <v>11.765456052999452</v>
      </c>
      <c r="K18" s="21"/>
      <c r="L18" s="21">
        <f>MAX((L5+L16),0)</f>
        <v>0</v>
      </c>
      <c r="M18" s="21"/>
      <c r="N18" s="21">
        <f>MAX((N5+N16),0)</f>
        <v>303.73568311970149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0.20886614737226888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927.65740921784629</v>
      </c>
      <c r="C22" s="23">
        <f ca="1">C18*C20</f>
        <v>0</v>
      </c>
      <c r="D22" s="23">
        <f>D18*D20</f>
        <v>432.56913748343663</v>
      </c>
      <c r="E22" s="23">
        <f>E18*E20</f>
        <v>80.023215603131462</v>
      </c>
      <c r="F22" s="23">
        <f>F18*F20</f>
        <v>308.92408993902643</v>
      </c>
      <c r="G22" s="23"/>
      <c r="H22" s="23"/>
      <c r="I22" s="23"/>
      <c r="J22" s="23">
        <f>J18*J20</f>
        <v>4.1649714427618063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220.77053124493702</v>
      </c>
      <c r="C30" s="39">
        <f>IF(ISERROR(B30*3.6/1000000/'E Balans VL '!Z18*100),0,B30*3.6/1000000/'E Balans VL '!Z18*100)</f>
        <v>1.2511632098317894E-2</v>
      </c>
      <c r="D30" s="233" t="s">
        <v>732</v>
      </c>
    </row>
    <row r="31" spans="1:18">
      <c r="A31" s="6" t="s">
        <v>32</v>
      </c>
      <c r="B31" s="37">
        <f>IF( ISERROR(IND_ander_ele_kWh/1000),0,IND_ander_ele_kWh/1000)</f>
        <v>575.64448363914096</v>
      </c>
      <c r="C31" s="39">
        <f>IF(ISERROR(B31*3.6/1000000/'E Balans VL '!Z19*100),0,B31*3.6/1000000/'E Balans VL '!Z19*100)</f>
        <v>2.6108836835959607E-2</v>
      </c>
      <c r="D31" s="233" t="s">
        <v>732</v>
      </c>
    </row>
    <row r="32" spans="1:18">
      <c r="A32" s="168" t="s">
        <v>40</v>
      </c>
      <c r="B32" s="37">
        <f>IF( ISERROR(IND_voed_ele_kWh/1000),0,IND_voed_ele_kWh/1000)</f>
        <v>358.523949888571</v>
      </c>
      <c r="C32" s="39">
        <f>IF(ISERROR(B32*3.6/1000000/'E Balans VL '!Z20*100),0,B32*3.6/1000000/'E Balans VL '!Z20*100)</f>
        <v>1.1090773331362054E-2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3286.4576947082796</v>
      </c>
      <c r="C37" s="39">
        <f>IF(ISERROR(B37*3.6/1000000/'E Balans VL '!Z15*100),0,B37*3.6/1000000/'E Balans VL '!Z15*100)</f>
        <v>2.6049213384469881E-2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1517.635557825241</v>
      </c>
      <c r="C5" s="17">
        <f>'Eigen informatie GS &amp; warmtenet'!B60</f>
        <v>0</v>
      </c>
      <c r="D5" s="30">
        <f>IF(ISERROR(SUM(LB_lb_gas_kWh,LB_rest_gas_kWh)/1000),0,SUM(LB_lb_gas_kWh,LB_rest_gas_kWh)/1000)*0.902</f>
        <v>31485.330064562822</v>
      </c>
      <c r="E5" s="17">
        <f>B17*'E Balans VL '!I25/3.6*1000000/100</f>
        <v>44.607944438501555</v>
      </c>
      <c r="F5" s="17">
        <f>B17*('E Balans VL '!L25/3.6*1000000+'E Balans VL '!N25/3.6*1000000)/100</f>
        <v>6322.3877251788554</v>
      </c>
      <c r="G5" s="18"/>
      <c r="H5" s="17"/>
      <c r="I5" s="17"/>
      <c r="J5" s="17">
        <f>('E Balans VL '!D25+'E Balans VL '!E25)/3.6*1000000*landbouw!B17/100</f>
        <v>219.87280073220077</v>
      </c>
      <c r="K5" s="17"/>
      <c r="L5" s="17">
        <f>L6*(-1)</f>
        <v>0</v>
      </c>
      <c r="M5" s="17"/>
      <c r="N5" s="17">
        <f>N6*(-1)</f>
        <v>0</v>
      </c>
      <c r="O5" s="17"/>
      <c r="P5" s="17"/>
      <c r="R5" s="32"/>
    </row>
    <row r="6" spans="1:18">
      <c r="A6" s="16" t="s">
        <v>480</v>
      </c>
      <c r="B6" s="17" t="s">
        <v>210</v>
      </c>
      <c r="C6" s="17">
        <f>'lokale energieproductie'!O40+'lokale energieproductie'!O33</f>
        <v>12947.142857142855</v>
      </c>
      <c r="D6" s="302">
        <f>('lokale energieproductie'!P33+'lokale energieproductie'!P40)*(-1)</f>
        <v>-25894.28571428571</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1517.635557825241</v>
      </c>
      <c r="C8" s="21">
        <f>C5+C6</f>
        <v>12947.142857142855</v>
      </c>
      <c r="D8" s="21">
        <f>MAX((D5+D6),0)</f>
        <v>5591.0443502771122</v>
      </c>
      <c r="E8" s="21">
        <f>MAX((E5+E6),0)</f>
        <v>44.607944438501555</v>
      </c>
      <c r="F8" s="21">
        <f>MAX((F5+F6),0)</f>
        <v>6322.3877251788554</v>
      </c>
      <c r="G8" s="21"/>
      <c r="H8" s="21"/>
      <c r="I8" s="21"/>
      <c r="J8" s="21">
        <f>MAX((J5+J6),0)</f>
        <v>219.87280073220077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0.20886614737226888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316.98269207812228</v>
      </c>
      <c r="C12" s="23">
        <f ca="1">C8*C10</f>
        <v>3076.8504201680671</v>
      </c>
      <c r="D12" s="23">
        <f>D8*D10</f>
        <v>1129.3909587559767</v>
      </c>
      <c r="E12" s="23">
        <f>E8*E10</f>
        <v>10.126003387539853</v>
      </c>
      <c r="F12" s="23">
        <f>F8*F10</f>
        <v>1688.0775226227545</v>
      </c>
      <c r="G12" s="23"/>
      <c r="H12" s="23"/>
      <c r="I12" s="23"/>
      <c r="J12" s="23">
        <f>J8*J10</f>
        <v>77.834971459199068</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0.21535724709175535</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212.1581135881377</v>
      </c>
      <c r="C26" s="243">
        <f>B26*'GWP N2O_CH4'!B5</f>
        <v>4455.3203853508912</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83.721199012921787</v>
      </c>
      <c r="C27" s="243">
        <f>B27*'GWP N2O_CH4'!B5</f>
        <v>1758.1451792713576</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2.5904682850712257</v>
      </c>
      <c r="C28" s="243">
        <f>B28*'GWP N2O_CH4'!B4</f>
        <v>803.04516837207996</v>
      </c>
      <c r="D28" s="50"/>
    </row>
    <row r="29" spans="1:4">
      <c r="A29" s="41" t="s">
        <v>271</v>
      </c>
      <c r="B29" s="243">
        <f>B34*'ha_N2O bodem landbouw'!B4</f>
        <v>7.8657193134690235</v>
      </c>
      <c r="C29" s="243">
        <f>B29*'GWP N2O_CH4'!B4</f>
        <v>2438.3729871753972</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1.7949300408589891E-3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9.9158171087846596E-5</v>
      </c>
      <c r="C5" s="431" t="s">
        <v>210</v>
      </c>
      <c r="D5" s="416">
        <f>SUM(D6:D11)</f>
        <v>1.7482851721202215E-4</v>
      </c>
      <c r="E5" s="416">
        <f>SUM(E6:E11)</f>
        <v>3.0465384421405169E-4</v>
      </c>
      <c r="F5" s="429" t="s">
        <v>210</v>
      </c>
      <c r="G5" s="416">
        <f>SUM(G6:G11)</f>
        <v>0.11302084779486159</v>
      </c>
      <c r="H5" s="416">
        <f>SUM(H6:H11)</f>
        <v>2.8107779486193044E-2</v>
      </c>
      <c r="I5" s="431" t="s">
        <v>210</v>
      </c>
      <c r="J5" s="431" t="s">
        <v>210</v>
      </c>
      <c r="K5" s="431" t="s">
        <v>210</v>
      </c>
      <c r="L5" s="431" t="s">
        <v>210</v>
      </c>
      <c r="M5" s="416">
        <f>SUM(M6:M11)</f>
        <v>7.4308006456287575E-3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7.7921810359615784E-5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1.3100026571077246E-4</v>
      </c>
      <c r="E6" s="859">
        <f>vkm_GW_PW*SUMIFS(TableVerdeelsleutelVkm[LPG],TableVerdeelsleutelVkm[Voertuigtype],"Lichte voertuigen")*SUMIFS(TableECFTransport[EnergieConsumptieFactor (PJ per km)],TableECFTransport[Index],CONCATENATE($A6,"_LPG_LPG"))</f>
        <v>2.3049608977112904E-4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6.8387522468455003E-2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2.116487490703604E-2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4.6186824878826039E-3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5.8659604924465275E-7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1.8841710652478354E-2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3.0741356409524725E-7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1.1008371923065679E-3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2.0014606693194626E-5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4.3144236969775398E-5</v>
      </c>
      <c r="E8" s="419">
        <f>vkm_NGW_PW*SUMIFS(TableVerdeelsleutelVkm[LPG],TableVerdeelsleutelVkm[Voertuigtype],"Lichte voertuigen")*SUMIFS(TableECFTransport[EnergieConsumptieFactor (PJ per km)],TableECFTransport[Index],CONCATENATE($A8,"_LPG_LPG"))</f>
        <v>7.2693159981137391E-5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2.0056719109355137E-2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6.8272196095414406E-3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1.372822376983193E-3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1.1809376975667171E-7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4.8669540866719437E-3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7.4701156402886138E-8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2.8435430094679473E-4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5.0169235193424917E-7</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6.8401453147428151E-7</v>
      </c>
      <c r="E10" s="419">
        <f>vkm_SW_PW*SUMIFS(TableVerdeelsleutelVkm[LPG],TableVerdeelsleutelVkm[Voertuigtype],"Lichte voertuigen")*SUMIFS(TableECFTransport[EnergieConsumptieFactor (PJ per km)],TableECFTransport[Index],CONCATENATE($A10,"_LPG_LPG"))</f>
        <v>1.4645944617852775E-6</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3.9765207191754242E-4</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1.1529456324685212E-4</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2.6627354975981119E-5</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1.5371864100613455E-8</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4.7028940598360869E-4</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8.29164821185609E-9</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2.7476932533616329E-5</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27.543936413290723</v>
      </c>
      <c r="C14" s="21"/>
      <c r="D14" s="21">
        <f t="shared" ref="D14:M14" si="0">((D5)*10^9/3600)+D12</f>
        <v>48.563477003339486</v>
      </c>
      <c r="E14" s="21">
        <f t="shared" si="0"/>
        <v>84.626067837236576</v>
      </c>
      <c r="F14" s="21"/>
      <c r="G14" s="21">
        <f t="shared" si="0"/>
        <v>31394.679943017109</v>
      </c>
      <c r="H14" s="21">
        <f t="shared" si="0"/>
        <v>7807.7165239425121</v>
      </c>
      <c r="I14" s="21"/>
      <c r="J14" s="21"/>
      <c r="K14" s="21"/>
      <c r="L14" s="21"/>
      <c r="M14" s="21">
        <f t="shared" si="0"/>
        <v>2064.1112904524325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0.20886614737226888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5.7529958821107829</v>
      </c>
      <c r="C18" s="23"/>
      <c r="D18" s="23">
        <f t="shared" ref="D18:M18" si="1">D14*D16</f>
        <v>9.8098223546745764</v>
      </c>
      <c r="E18" s="23">
        <f t="shared" si="1"/>
        <v>19.210117399052702</v>
      </c>
      <c r="F18" s="23"/>
      <c r="G18" s="23">
        <f t="shared" si="1"/>
        <v>8382.3795447855682</v>
      </c>
      <c r="H18" s="23">
        <f t="shared" si="1"/>
        <v>1944.1214144616856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1.6344688887512072E-5</v>
      </c>
      <c r="C50" s="313">
        <f t="shared" ref="C50:P50" si="2">SUM(C51:C52)</f>
        <v>0</v>
      </c>
      <c r="D50" s="313">
        <f t="shared" si="2"/>
        <v>0</v>
      </c>
      <c r="E50" s="313">
        <f t="shared" si="2"/>
        <v>0</v>
      </c>
      <c r="F50" s="313">
        <f t="shared" si="2"/>
        <v>0</v>
      </c>
      <c r="G50" s="313">
        <f t="shared" si="2"/>
        <v>1.5354212852970812E-3</v>
      </c>
      <c r="H50" s="313">
        <f t="shared" si="2"/>
        <v>0</v>
      </c>
      <c r="I50" s="313">
        <f t="shared" si="2"/>
        <v>0</v>
      </c>
      <c r="J50" s="313">
        <f t="shared" si="2"/>
        <v>0</v>
      </c>
      <c r="K50" s="313">
        <f t="shared" si="2"/>
        <v>0</v>
      </c>
      <c r="L50" s="313">
        <f t="shared" si="2"/>
        <v>0</v>
      </c>
      <c r="M50" s="313">
        <f t="shared" si="2"/>
        <v>8.8420301693243179E-5</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1.6344688887512072E-5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1.5354212852970812E-3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8.8420301693243179E-5</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4.5401913576422421</v>
      </c>
      <c r="C54" s="21">
        <f t="shared" ref="C54:P54" si="3">(C50)*10^9/3600</f>
        <v>0</v>
      </c>
      <c r="D54" s="21">
        <f t="shared" si="3"/>
        <v>0</v>
      </c>
      <c r="E54" s="21">
        <f t="shared" si="3"/>
        <v>0</v>
      </c>
      <c r="F54" s="21">
        <f t="shared" si="3"/>
        <v>0</v>
      </c>
      <c r="G54" s="21">
        <f t="shared" si="3"/>
        <v>426.50591258252257</v>
      </c>
      <c r="H54" s="21">
        <f t="shared" si="3"/>
        <v>0</v>
      </c>
      <c r="I54" s="21">
        <f t="shared" si="3"/>
        <v>0</v>
      </c>
      <c r="J54" s="21">
        <f t="shared" si="3"/>
        <v>0</v>
      </c>
      <c r="K54" s="21">
        <f t="shared" si="3"/>
        <v>0</v>
      </c>
      <c r="L54" s="21">
        <f t="shared" si="3"/>
        <v>0</v>
      </c>
      <c r="M54" s="21">
        <f t="shared" si="3"/>
        <v>24.561194914789773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0.20886614737226888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0.94829227720360609</v>
      </c>
      <c r="C58" s="23">
        <f t="shared" ref="C58:P58" ca="1" si="4">C54*C56</f>
        <v>0</v>
      </c>
      <c r="D58" s="23">
        <f t="shared" si="4"/>
        <v>0</v>
      </c>
      <c r="E58" s="23">
        <f t="shared" si="4"/>
        <v>0</v>
      </c>
      <c r="F58" s="23">
        <f t="shared" si="4"/>
        <v>0</v>
      </c>
      <c r="G58" s="23">
        <f t="shared" si="4"/>
        <v>113.87707865953354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2365.1211440846459</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N30</f>
        <v>9087.7499999999982</v>
      </c>
      <c r="C8" s="538">
        <f>B49</f>
        <v>10691.470588235292</v>
      </c>
      <c r="D8" s="1004"/>
      <c r="E8" s="1004">
        <f>E49</f>
        <v>0</v>
      </c>
      <c r="F8" s="1005"/>
      <c r="G8" s="539"/>
      <c r="H8" s="1004">
        <f>I49</f>
        <v>0</v>
      </c>
      <c r="I8" s="1004">
        <f>G49+F49</f>
        <v>0</v>
      </c>
      <c r="J8" s="1004">
        <f>H49+D49+C49</f>
        <v>0</v>
      </c>
      <c r="K8" s="1004"/>
      <c r="L8" s="1004"/>
      <c r="M8" s="1004"/>
      <c r="N8" s="540"/>
      <c r="O8" s="541">
        <f>C8*$C$12+D8*$D$12+E8*$E$12+F8*$F$12+G8*$G$12+H8*$H$12+I8*$I$12+J8*$J$12</f>
        <v>2159.677058823529</v>
      </c>
      <c r="P8" s="1248"/>
      <c r="Q8" s="1249"/>
      <c r="S8" s="967"/>
      <c r="T8" s="1223"/>
      <c r="U8" s="1223"/>
    </row>
    <row r="9" spans="1:21" s="527" customFormat="1" ht="17.45" customHeight="1" thickBot="1">
      <c r="A9" s="542" t="s">
        <v>242</v>
      </c>
      <c r="B9" s="543">
        <f>N37+'Eigen informatie GS &amp; warmtenet'!B12</f>
        <v>0</v>
      </c>
      <c r="C9" s="544">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11452.871144084644</v>
      </c>
      <c r="C10" s="551">
        <f t="shared" ref="C10:L10" si="0">SUM(C8:C9)</f>
        <v>10691.470588235292</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2159.677058823529</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O30</f>
        <v>12982.499999999998</v>
      </c>
      <c r="C17" s="563">
        <f>B50</f>
        <v>15273.529411764704</v>
      </c>
      <c r="D17" s="564"/>
      <c r="E17" s="564">
        <f>E50</f>
        <v>0</v>
      </c>
      <c r="F17" s="1010"/>
      <c r="G17" s="565"/>
      <c r="H17" s="563">
        <f>I50</f>
        <v>0</v>
      </c>
      <c r="I17" s="564">
        <f>G50+F50</f>
        <v>0</v>
      </c>
      <c r="J17" s="564">
        <f>H50+D50+C50</f>
        <v>0</v>
      </c>
      <c r="K17" s="564"/>
      <c r="L17" s="564"/>
      <c r="M17" s="564"/>
      <c r="N17" s="1011"/>
      <c r="O17" s="566">
        <f>C17*$C$22+E17*$E$22+H17*$H$22+I17*$I$22+J17*$J$22+D17*$D$22+F17*$F$22+G17*$G$22+K17*$K$22+L17*$L$22</f>
        <v>3085.2529411764704</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12982.499999999998</v>
      </c>
      <c r="C20" s="550">
        <f>SUM(C17:C19)</f>
        <v>15273.529411764704</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3085.2529411764704</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63.75">
      <c r="A28" s="573"/>
      <c r="B28" s="764">
        <v>13012</v>
      </c>
      <c r="C28" s="764">
        <v>2270</v>
      </c>
      <c r="D28" s="621" t="s">
        <v>902</v>
      </c>
      <c r="E28" s="620" t="s">
        <v>903</v>
      </c>
      <c r="F28" s="620" t="s">
        <v>904</v>
      </c>
      <c r="G28" s="620" t="s">
        <v>905</v>
      </c>
      <c r="H28" s="620" t="s">
        <v>906</v>
      </c>
      <c r="I28" s="620" t="s">
        <v>907</v>
      </c>
      <c r="J28" s="763">
        <v>36797</v>
      </c>
      <c r="K28" s="763">
        <v>39356</v>
      </c>
      <c r="L28" s="620" t="s">
        <v>908</v>
      </c>
      <c r="M28" s="620">
        <v>5.5</v>
      </c>
      <c r="N28" s="620">
        <v>24.75</v>
      </c>
      <c r="O28" s="620">
        <v>35.357142857142861</v>
      </c>
      <c r="P28" s="620">
        <v>70.714285714285722</v>
      </c>
      <c r="Q28" s="620">
        <v>0</v>
      </c>
      <c r="R28" s="620">
        <v>0</v>
      </c>
      <c r="S28" s="620">
        <v>0</v>
      </c>
      <c r="T28" s="620">
        <v>0</v>
      </c>
      <c r="U28" s="620">
        <v>0</v>
      </c>
      <c r="V28" s="620">
        <v>0</v>
      </c>
      <c r="W28" s="620">
        <v>0</v>
      </c>
      <c r="X28" s="620">
        <v>1600</v>
      </c>
      <c r="Y28" s="620" t="s">
        <v>49</v>
      </c>
      <c r="Z28" s="622" t="s">
        <v>155</v>
      </c>
    </row>
    <row r="29" spans="1:26" s="574" customFormat="1" ht="25.5">
      <c r="A29" s="573"/>
      <c r="B29" s="764">
        <v>13012</v>
      </c>
      <c r="C29" s="764">
        <v>2270</v>
      </c>
      <c r="D29" s="621" t="s">
        <v>909</v>
      </c>
      <c r="E29" s="620" t="s">
        <v>910</v>
      </c>
      <c r="F29" s="620" t="s">
        <v>911</v>
      </c>
      <c r="G29" s="620" t="s">
        <v>905</v>
      </c>
      <c r="H29" s="620" t="s">
        <v>906</v>
      </c>
      <c r="I29" s="620" t="s">
        <v>910</v>
      </c>
      <c r="J29" s="763">
        <v>39989</v>
      </c>
      <c r="K29" s="763">
        <v>40014</v>
      </c>
      <c r="L29" s="620" t="s">
        <v>908</v>
      </c>
      <c r="M29" s="620">
        <v>2014</v>
      </c>
      <c r="N29" s="620">
        <v>9062.9999999999982</v>
      </c>
      <c r="O29" s="620">
        <v>12947.142857142855</v>
      </c>
      <c r="P29" s="620">
        <v>25894.28571428571</v>
      </c>
      <c r="Q29" s="620">
        <v>0</v>
      </c>
      <c r="R29" s="620">
        <v>0</v>
      </c>
      <c r="S29" s="620">
        <v>0</v>
      </c>
      <c r="T29" s="620">
        <v>0</v>
      </c>
      <c r="U29" s="620">
        <v>0</v>
      </c>
      <c r="V29" s="620">
        <v>0</v>
      </c>
      <c r="W29" s="620">
        <v>0</v>
      </c>
      <c r="X29" s="620">
        <v>10</v>
      </c>
      <c r="Y29" s="620" t="s">
        <v>111</v>
      </c>
      <c r="Z29" s="622" t="s">
        <v>111</v>
      </c>
    </row>
    <row r="30" spans="1:26" s="558" customFormat="1">
      <c r="A30" s="576" t="s">
        <v>274</v>
      </c>
      <c r="B30" s="577"/>
      <c r="C30" s="577"/>
      <c r="D30" s="577"/>
      <c r="E30" s="577"/>
      <c r="F30" s="577"/>
      <c r="G30" s="577"/>
      <c r="H30" s="577"/>
      <c r="I30" s="577"/>
      <c r="J30" s="577"/>
      <c r="K30" s="577"/>
      <c r="L30" s="578"/>
      <c r="M30" s="578">
        <f>SUM(M28:M29)</f>
        <v>2019.5</v>
      </c>
      <c r="N30" s="578">
        <f>SUM(N28:N29)</f>
        <v>9087.7499999999982</v>
      </c>
      <c r="O30" s="578">
        <f>SUM(O28:O29)</f>
        <v>12982.499999999998</v>
      </c>
      <c r="P30" s="578">
        <f>SUM(P28:P29)</f>
        <v>25964.999999999996</v>
      </c>
      <c r="Q30" s="578">
        <f>SUM(Q28:Q29)</f>
        <v>0</v>
      </c>
      <c r="R30" s="578">
        <f>SUM(R28:R29)</f>
        <v>0</v>
      </c>
      <c r="S30" s="578">
        <f>SUM(S28:S29)</f>
        <v>0</v>
      </c>
      <c r="T30" s="578">
        <f>SUM(T28:T29)</f>
        <v>0</v>
      </c>
      <c r="U30" s="578">
        <f>SUM(U28:U29)</f>
        <v>0</v>
      </c>
      <c r="V30" s="578">
        <f>SUM(V28:V29)</f>
        <v>0</v>
      </c>
      <c r="W30" s="578">
        <f>SUM(W28:W29)</f>
        <v>0</v>
      </c>
      <c r="X30" s="579"/>
      <c r="Y30" s="579"/>
      <c r="Z30" s="580"/>
    </row>
    <row r="31" spans="1:26" s="558" customFormat="1">
      <c r="A31" s="576" t="s">
        <v>281</v>
      </c>
      <c r="B31" s="577"/>
      <c r="C31" s="577"/>
      <c r="D31" s="577"/>
      <c r="E31" s="577"/>
      <c r="F31" s="577"/>
      <c r="G31" s="577"/>
      <c r="H31" s="577"/>
      <c r="I31" s="577"/>
      <c r="J31" s="577"/>
      <c r="K31" s="577"/>
      <c r="L31" s="578"/>
      <c r="M31" s="578">
        <f>SUMIF($Z$28:$Z$29,"industrie",M28:M29)</f>
        <v>0</v>
      </c>
      <c r="N31" s="578">
        <f>SUMIF($Z$28:$Z$29,"industrie",N28:N29)</f>
        <v>0</v>
      </c>
      <c r="O31" s="578">
        <f>SUMIF($Z$28:$Z$29,"industrie",O28:O29)</f>
        <v>0</v>
      </c>
      <c r="P31" s="578">
        <f>SUMIF($Z$28:$Z$29,"industrie",P28:P29)</f>
        <v>0</v>
      </c>
      <c r="Q31" s="578">
        <f>SUMIF($Z$28:$Z$29,"industrie",Q28:Q29)</f>
        <v>0</v>
      </c>
      <c r="R31" s="578">
        <f>SUMIF($Z$28:$Z$29,"industrie",R28:R29)</f>
        <v>0</v>
      </c>
      <c r="S31" s="578">
        <f>SUMIF($Z$28:$Z$29,"industrie",S28:S29)</f>
        <v>0</v>
      </c>
      <c r="T31" s="578">
        <f>SUMIF($Z$28:$Z$29,"industrie",T28:T29)</f>
        <v>0</v>
      </c>
      <c r="U31" s="578">
        <f>SUMIF($Z$28:$Z$29,"industrie",U28:U29)</f>
        <v>0</v>
      </c>
      <c r="V31" s="578">
        <f>SUMIF($Z$28:$Z$29,"industrie",V28:V29)</f>
        <v>0</v>
      </c>
      <c r="W31" s="578">
        <f>SUMIF($Z$28:$Z$29,"industrie",W28:W29)</f>
        <v>0</v>
      </c>
      <c r="X31" s="579"/>
      <c r="Y31" s="579"/>
      <c r="Z31" s="580"/>
    </row>
    <row r="32" spans="1:26" s="558" customFormat="1">
      <c r="A32" s="576" t="s">
        <v>282</v>
      </c>
      <c r="B32" s="577"/>
      <c r="C32" s="577"/>
      <c r="D32" s="577"/>
      <c r="E32" s="577"/>
      <c r="F32" s="577"/>
      <c r="G32" s="577"/>
      <c r="H32" s="577"/>
      <c r="I32" s="577"/>
      <c r="J32" s="577"/>
      <c r="K32" s="577"/>
      <c r="L32" s="578"/>
      <c r="M32" s="578">
        <f ca="1">SUMIF($Z$28:AC29,"tertiair",M28:M29)</f>
        <v>5.5</v>
      </c>
      <c r="N32" s="578">
        <f ca="1">SUMIF($Z$28:AD29,"tertiair",N28:N29)</f>
        <v>24.75</v>
      </c>
      <c r="O32" s="578">
        <f ca="1">SUMIF($Z$28:AE29,"tertiair",O28:O29)</f>
        <v>35.357142857142861</v>
      </c>
      <c r="P32" s="578">
        <f ca="1">SUMIF($Z$28:AF29,"tertiair",P28:P29)</f>
        <v>70.714285714285722</v>
      </c>
      <c r="Q32" s="578">
        <f ca="1">SUMIF($Z$28:AG29,"tertiair",Q28:Q29)</f>
        <v>0</v>
      </c>
      <c r="R32" s="578">
        <f ca="1">SUMIF($Z$28:AH29,"tertiair",R28:R29)</f>
        <v>0</v>
      </c>
      <c r="S32" s="578">
        <f ca="1">SUMIF($Z$28:AI29,"tertiair",S28:S29)</f>
        <v>0</v>
      </c>
      <c r="T32" s="578">
        <f ca="1">SUMIF($Z$28:AJ29,"tertiair",T28:T29)</f>
        <v>0</v>
      </c>
      <c r="U32" s="578">
        <f ca="1">SUMIF($Z$28:AK29,"tertiair",U28:U29)</f>
        <v>0</v>
      </c>
      <c r="V32" s="578">
        <f ca="1">SUMIF($Z$28:AL29,"tertiair",V28:V29)</f>
        <v>0</v>
      </c>
      <c r="W32" s="578">
        <f ca="1">SUMIF($Z$28:AM29,"tertiair",W28:W29)</f>
        <v>0</v>
      </c>
      <c r="X32" s="579"/>
      <c r="Y32" s="579"/>
      <c r="Z32" s="580"/>
    </row>
    <row r="33" spans="1:27" s="558" customFormat="1" ht="15.75" thickBot="1">
      <c r="A33" s="581" t="s">
        <v>283</v>
      </c>
      <c r="B33" s="582"/>
      <c r="C33" s="582"/>
      <c r="D33" s="582"/>
      <c r="E33" s="582"/>
      <c r="F33" s="582"/>
      <c r="G33" s="582"/>
      <c r="H33" s="582"/>
      <c r="I33" s="582"/>
      <c r="J33" s="582"/>
      <c r="K33" s="582"/>
      <c r="L33" s="583"/>
      <c r="M33" s="583">
        <f>SUMIF($Z$28:$Z$29,"landbouw",M28:M29)</f>
        <v>2014</v>
      </c>
      <c r="N33" s="583">
        <f>SUMIF($Z$28:$Z$29,"landbouw",N28:N29)</f>
        <v>9062.9999999999982</v>
      </c>
      <c r="O33" s="583">
        <f>SUMIF($Z$28:$Z$29,"landbouw",O28:O29)</f>
        <v>12947.142857142855</v>
      </c>
      <c r="P33" s="583">
        <f>SUMIF($Z$28:$Z$29,"landbouw",P28:P29)</f>
        <v>25894.28571428571</v>
      </c>
      <c r="Q33" s="583">
        <f>SUMIF($Z$28:$Z$29,"landbouw",Q28:Q29)</f>
        <v>0</v>
      </c>
      <c r="R33" s="583">
        <f>SUMIF($Z$28:$Z$29,"landbouw",R28:R29)</f>
        <v>0</v>
      </c>
      <c r="S33" s="583">
        <f>SUMIF($Z$28:$Z$29,"landbouw",S28:S29)</f>
        <v>0</v>
      </c>
      <c r="T33" s="583">
        <f>SUMIF($Z$28:$Z$29,"landbouw",T28:T29)</f>
        <v>0</v>
      </c>
      <c r="U33" s="583">
        <f>SUMIF($Z$28:$Z$29,"landbouw",U28:U29)</f>
        <v>0</v>
      </c>
      <c r="V33" s="583">
        <f>SUMIF($Z$28:$Z$29,"landbouw",V28:V29)</f>
        <v>0</v>
      </c>
      <c r="W33" s="583">
        <f>SUMIF($Z$28:$Z$29,"landbouw",W28:W29)</f>
        <v>0</v>
      </c>
      <c r="X33" s="584"/>
      <c r="Y33" s="584"/>
      <c r="Z33" s="585"/>
    </row>
    <row r="34" spans="1:27" s="527" customFormat="1" ht="15.75" thickBot="1">
      <c r="A34" s="586"/>
      <c r="B34" s="587"/>
      <c r="C34" s="587"/>
      <c r="D34" s="587"/>
      <c r="E34" s="587"/>
      <c r="F34" s="587"/>
      <c r="G34" s="587"/>
      <c r="H34" s="587"/>
      <c r="I34" s="587"/>
      <c r="J34" s="587"/>
      <c r="K34" s="587"/>
      <c r="L34" s="570"/>
      <c r="M34" s="570"/>
      <c r="N34" s="570"/>
      <c r="O34" s="571"/>
      <c r="P34" s="571"/>
    </row>
    <row r="35" spans="1:27" s="527" customFormat="1" ht="45">
      <c r="A35" s="588" t="s">
        <v>275</v>
      </c>
      <c r="B35" s="617" t="s">
        <v>89</v>
      </c>
      <c r="C35" s="617" t="s">
        <v>90</v>
      </c>
      <c r="D35" s="617" t="s">
        <v>91</v>
      </c>
      <c r="E35" s="617" t="s">
        <v>92</v>
      </c>
      <c r="F35" s="617" t="s">
        <v>93</v>
      </c>
      <c r="G35" s="617" t="s">
        <v>94</v>
      </c>
      <c r="H35" s="617" t="s">
        <v>95</v>
      </c>
      <c r="I35" s="617" t="s">
        <v>96</v>
      </c>
      <c r="J35" s="617" t="s">
        <v>97</v>
      </c>
      <c r="K35" s="617" t="s">
        <v>98</v>
      </c>
      <c r="L35" s="617" t="s">
        <v>99</v>
      </c>
      <c r="M35" s="618" t="s">
        <v>292</v>
      </c>
      <c r="N35" s="618" t="s">
        <v>100</v>
      </c>
      <c r="O35" s="618" t="s">
        <v>101</v>
      </c>
      <c r="P35" s="618" t="s">
        <v>526</v>
      </c>
      <c r="Q35" s="618" t="s">
        <v>102</v>
      </c>
      <c r="R35" s="618" t="s">
        <v>103</v>
      </c>
      <c r="S35" s="618" t="s">
        <v>104</v>
      </c>
      <c r="T35" s="618" t="s">
        <v>105</v>
      </c>
      <c r="U35" s="618" t="s">
        <v>106</v>
      </c>
      <c r="V35" s="618" t="s">
        <v>107</v>
      </c>
      <c r="W35" s="617" t="s">
        <v>108</v>
      </c>
      <c r="X35" s="617" t="s">
        <v>293</v>
      </c>
      <c r="Y35" s="617" t="s">
        <v>109</v>
      </c>
      <c r="Z35" s="619" t="s">
        <v>294</v>
      </c>
    </row>
    <row r="36" spans="1:27" s="589" customFormat="1" ht="12.75">
      <c r="A36" s="575"/>
      <c r="B36" s="764"/>
      <c r="C36" s="764"/>
      <c r="D36" s="623"/>
      <c r="E36" s="623"/>
      <c r="F36" s="623"/>
      <c r="G36" s="623"/>
      <c r="H36" s="623"/>
      <c r="I36" s="623"/>
      <c r="J36" s="763"/>
      <c r="K36" s="763"/>
      <c r="L36" s="623"/>
      <c r="M36" s="623"/>
      <c r="N36" s="623"/>
      <c r="O36" s="623"/>
      <c r="P36" s="623"/>
      <c r="Q36" s="623"/>
      <c r="R36" s="623"/>
      <c r="S36" s="623"/>
      <c r="T36" s="623"/>
      <c r="U36" s="623"/>
      <c r="V36" s="623"/>
      <c r="W36" s="623"/>
      <c r="X36" s="623"/>
      <c r="Y36" s="623"/>
      <c r="Z36" s="624"/>
    </row>
    <row r="37" spans="1:27" s="558" customFormat="1">
      <c r="A37" s="576" t="s">
        <v>274</v>
      </c>
      <c r="B37" s="577"/>
      <c r="C37" s="577"/>
      <c r="D37" s="577"/>
      <c r="E37" s="577"/>
      <c r="F37" s="577"/>
      <c r="G37" s="577"/>
      <c r="H37" s="577"/>
      <c r="I37" s="577"/>
      <c r="J37" s="577"/>
      <c r="K37" s="577"/>
      <c r="L37" s="578"/>
      <c r="M37" s="578">
        <f>SUM(M36:M36)</f>
        <v>0</v>
      </c>
      <c r="N37" s="578">
        <f>SUM(N36:N36)</f>
        <v>0</v>
      </c>
      <c r="O37" s="578">
        <f>SUM(O36:O36)</f>
        <v>0</v>
      </c>
      <c r="P37" s="578">
        <f>SUM(P36:P36)</f>
        <v>0</v>
      </c>
      <c r="Q37" s="578">
        <f>SUM(Q36:Q36)</f>
        <v>0</v>
      </c>
      <c r="R37" s="578">
        <f>SUM(R36:R36)</f>
        <v>0</v>
      </c>
      <c r="S37" s="578">
        <f>SUM(S36:S36)</f>
        <v>0</v>
      </c>
      <c r="T37" s="578">
        <f>SUM(T36:T36)</f>
        <v>0</v>
      </c>
      <c r="U37" s="578">
        <f>SUM(U36:U36)</f>
        <v>0</v>
      </c>
      <c r="V37" s="578">
        <f>SUM(V36:V36)</f>
        <v>0</v>
      </c>
      <c r="W37" s="578">
        <f>SUM(W36:W36)</f>
        <v>0</v>
      </c>
      <c r="X37" s="579"/>
      <c r="Y37" s="579"/>
      <c r="Z37" s="580"/>
    </row>
    <row r="38" spans="1:27" s="558" customFormat="1">
      <c r="A38" s="576" t="s">
        <v>281</v>
      </c>
      <c r="B38" s="577"/>
      <c r="C38" s="577"/>
      <c r="D38" s="577"/>
      <c r="E38" s="577"/>
      <c r="F38" s="577"/>
      <c r="G38" s="577"/>
      <c r="H38" s="577"/>
      <c r="I38" s="577"/>
      <c r="J38" s="577"/>
      <c r="K38" s="577"/>
      <c r="L38" s="578"/>
      <c r="M38" s="578">
        <f>SUMIF($Z$36:$Z$36,"industrie",M36:M36)</f>
        <v>0</v>
      </c>
      <c r="N38" s="578">
        <f>SUMIF($Z$36:$Z$36,"industrie",N36:N36)</f>
        <v>0</v>
      </c>
      <c r="O38" s="578">
        <f>SUMIF($Z$36:$Z$36,"industrie",O36:O36)</f>
        <v>0</v>
      </c>
      <c r="P38" s="578">
        <f>SUMIF($Z$36:$Z$36,"industrie",P36:P36)</f>
        <v>0</v>
      </c>
      <c r="Q38" s="578">
        <f>SUMIF($Z$36:$Z$36,"industrie",Q36:Q36)</f>
        <v>0</v>
      </c>
      <c r="R38" s="578">
        <f>SUMIF($Z$36:$Z$36,"industrie",R36:R36)</f>
        <v>0</v>
      </c>
      <c r="S38" s="578">
        <f>SUMIF($Z$36:$Z$36,"industrie",S36:S36)</f>
        <v>0</v>
      </c>
      <c r="T38" s="578">
        <f>SUMIF($Z$36:$Z$36,"industrie",T36:T36)</f>
        <v>0</v>
      </c>
      <c r="U38" s="578">
        <f>SUMIF($Z$36:$Z$36,"industrie",U36:U36)</f>
        <v>0</v>
      </c>
      <c r="V38" s="578">
        <f>SUMIF($Z$36:$Z$36,"industrie",V36:V36)</f>
        <v>0</v>
      </c>
      <c r="W38" s="578">
        <f>SUMIF($Z$36:$Z$36,"industrie",W36:W36)</f>
        <v>0</v>
      </c>
      <c r="X38" s="579"/>
      <c r="Y38" s="579"/>
      <c r="Z38" s="580"/>
    </row>
    <row r="39" spans="1:27" s="558" customFormat="1">
      <c r="A39" s="576" t="s">
        <v>282</v>
      </c>
      <c r="B39" s="577"/>
      <c r="C39" s="577"/>
      <c r="D39" s="577"/>
      <c r="E39" s="577"/>
      <c r="F39" s="577"/>
      <c r="G39" s="577"/>
      <c r="H39" s="577"/>
      <c r="I39" s="577"/>
      <c r="J39" s="577"/>
      <c r="K39" s="577"/>
      <c r="L39" s="578"/>
      <c r="M39" s="578">
        <f>SUMIF($Z$36:$Z$37,"tertiair",M36:M37)</f>
        <v>0</v>
      </c>
      <c r="N39" s="578">
        <f>SUMIF($Z$36:$Z$37,"tertiair",N36:N37)</f>
        <v>0</v>
      </c>
      <c r="O39" s="578">
        <f>SUMIF($Z$36:$Z$37,"tertiair",O36:O37)</f>
        <v>0</v>
      </c>
      <c r="P39" s="578">
        <f>SUMIF($Z$36:$Z$37,"tertiair",P36:P37)</f>
        <v>0</v>
      </c>
      <c r="Q39" s="578">
        <f>SUMIF($Z$36:$Z$37,"tertiair",Q36:Q37)</f>
        <v>0</v>
      </c>
      <c r="R39" s="578">
        <f>SUMIF($Z$36:$Z$37,"tertiair",R36:R37)</f>
        <v>0</v>
      </c>
      <c r="S39" s="578">
        <f>SUMIF($Z$36:$Z$37,"tertiair",S36:S37)</f>
        <v>0</v>
      </c>
      <c r="T39" s="578">
        <f>SUMIF($Z$36:$Z$37,"tertiair",T36:T37)</f>
        <v>0</v>
      </c>
      <c r="U39" s="578">
        <f>SUMIF($Z$36:$Z$37,"tertiair",U36:U37)</f>
        <v>0</v>
      </c>
      <c r="V39" s="578">
        <f>SUMIF($Z$36:$Z$37,"tertiair",V36:V37)</f>
        <v>0</v>
      </c>
      <c r="W39" s="578">
        <f>SUMIF($Z$36:$Z$37,"tertiair",W36:W37)</f>
        <v>0</v>
      </c>
      <c r="X39" s="579"/>
      <c r="Y39" s="579"/>
      <c r="Z39" s="580"/>
    </row>
    <row r="40" spans="1:27" s="558" customFormat="1" ht="15.75" thickBot="1">
      <c r="A40" s="581" t="s">
        <v>283</v>
      </c>
      <c r="B40" s="582"/>
      <c r="C40" s="582"/>
      <c r="D40" s="582"/>
      <c r="E40" s="582"/>
      <c r="F40" s="582"/>
      <c r="G40" s="582"/>
      <c r="H40" s="582"/>
      <c r="I40" s="582"/>
      <c r="J40" s="582"/>
      <c r="K40" s="582"/>
      <c r="L40" s="583"/>
      <c r="M40" s="583">
        <f>SUMIF($Z$36:$Z$38,"landbouw",M36:M38)</f>
        <v>0</v>
      </c>
      <c r="N40" s="583">
        <f>SUMIF($Z$36:$Z$38,"landbouw",N36:N38)</f>
        <v>0</v>
      </c>
      <c r="O40" s="583">
        <f>SUMIF($Z$36:$Z$38,"landbouw",O36:O38)</f>
        <v>0</v>
      </c>
      <c r="P40" s="583">
        <f>SUMIF($Z$36:$Z$38,"landbouw",P36:P38)</f>
        <v>0</v>
      </c>
      <c r="Q40" s="583">
        <f>SUMIF($Z$36:$Z$38,"landbouw",Q36:Q38)</f>
        <v>0</v>
      </c>
      <c r="R40" s="583">
        <f>SUMIF($Z$36:$Z$38,"landbouw",R36:R38)</f>
        <v>0</v>
      </c>
      <c r="S40" s="583">
        <f>SUMIF($Z$36:$Z$38,"landbouw",S36:S38)</f>
        <v>0</v>
      </c>
      <c r="T40" s="583">
        <f>SUMIF($Z$36:$Z$38,"landbouw",T36:T38)</f>
        <v>0</v>
      </c>
      <c r="U40" s="583">
        <f>SUMIF($Z$36:$Z$38,"landbouw",U36:U38)</f>
        <v>0</v>
      </c>
      <c r="V40" s="583">
        <f>SUMIF($Z$36:$Z$38,"landbouw",V36:V38)</f>
        <v>0</v>
      </c>
      <c r="W40" s="583">
        <f>SUMIF($Z$36:$Z$38,"landbouw",W36:W38)</f>
        <v>0</v>
      </c>
      <c r="X40" s="584"/>
      <c r="Y40" s="584"/>
      <c r="Z40" s="585"/>
    </row>
    <row r="41" spans="1:27" s="590" customForma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row>
    <row r="42" spans="1:27" s="590" customFormat="1" ht="15.75" thickBo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row>
    <row r="43" spans="1:27">
      <c r="A43" s="591" t="s">
        <v>276</v>
      </c>
      <c r="B43" s="592"/>
      <c r="C43" s="592"/>
      <c r="D43" s="592"/>
      <c r="E43" s="592"/>
      <c r="F43" s="592"/>
      <c r="G43" s="592"/>
      <c r="H43" s="592"/>
      <c r="I43" s="593"/>
      <c r="J43" s="594"/>
      <c r="K43" s="594"/>
      <c r="L43" s="595"/>
      <c r="M43" s="595"/>
      <c r="N43" s="595"/>
      <c r="O43" s="595"/>
      <c r="P43" s="595"/>
    </row>
    <row r="44" spans="1:27">
      <c r="A44" s="597"/>
      <c r="B44" s="587"/>
      <c r="C44" s="587"/>
      <c r="D44" s="587"/>
      <c r="E44" s="587"/>
      <c r="F44" s="587"/>
      <c r="G44" s="587"/>
      <c r="H44" s="587"/>
      <c r="I44" s="598"/>
      <c r="J44" s="587"/>
      <c r="K44" s="587"/>
      <c r="L44" s="595"/>
      <c r="M44" s="595"/>
      <c r="N44" s="595"/>
      <c r="O44" s="595"/>
      <c r="P44" s="595"/>
    </row>
    <row r="45" spans="1:27">
      <c r="A45" s="599"/>
      <c r="B45" s="600" t="s">
        <v>277</v>
      </c>
      <c r="C45" s="600" t="s">
        <v>278</v>
      </c>
      <c r="D45" s="600"/>
      <c r="E45" s="600"/>
      <c r="F45" s="600"/>
      <c r="G45" s="600"/>
      <c r="H45" s="600"/>
      <c r="I45" s="601"/>
      <c r="J45" s="600"/>
      <c r="K45" s="600"/>
      <c r="L45" s="600"/>
      <c r="M45" s="600"/>
      <c r="N45" s="600"/>
      <c r="O45" s="600"/>
      <c r="P45" s="595"/>
    </row>
    <row r="46" spans="1:27">
      <c r="A46" s="597" t="s">
        <v>274</v>
      </c>
      <c r="B46" s="602">
        <f>IF(ISERROR(O30/(O30+N30)),0,O30/(O30+N30))</f>
        <v>0.58823529411764708</v>
      </c>
      <c r="C46" s="603">
        <f>IF(ISERROR(N30/(O30+N30)),0,N30/(N30+O30))</f>
        <v>0.41176470588235292</v>
      </c>
      <c r="D46" s="570"/>
      <c r="E46" s="570"/>
      <c r="F46" s="570"/>
      <c r="G46" s="570"/>
      <c r="H46" s="570"/>
      <c r="I46" s="604"/>
      <c r="J46" s="570"/>
      <c r="K46" s="570"/>
      <c r="L46" s="605"/>
      <c r="M46" s="605"/>
      <c r="N46" s="605"/>
      <c r="O46" s="605"/>
      <c r="P46" s="595"/>
    </row>
    <row r="47" spans="1:27">
      <c r="A47" s="597"/>
      <c r="B47" s="606"/>
      <c r="C47" s="606"/>
      <c r="D47" s="606"/>
      <c r="E47" s="606"/>
      <c r="F47" s="606"/>
      <c r="G47" s="606"/>
      <c r="H47" s="606"/>
      <c r="I47" s="607"/>
      <c r="J47" s="606"/>
      <c r="K47" s="606"/>
      <c r="L47" s="608"/>
      <c r="M47" s="608"/>
      <c r="N47" s="608"/>
      <c r="O47" s="608"/>
      <c r="P47" s="595"/>
    </row>
    <row r="48" spans="1:27" ht="30">
      <c r="A48" s="609"/>
      <c r="B48" s="610" t="s">
        <v>526</v>
      </c>
      <c r="C48" s="610" t="s">
        <v>102</v>
      </c>
      <c r="D48" s="610" t="s">
        <v>103</v>
      </c>
      <c r="E48" s="610" t="s">
        <v>104</v>
      </c>
      <c r="F48" s="610" t="s">
        <v>105</v>
      </c>
      <c r="G48" s="610" t="s">
        <v>106</v>
      </c>
      <c r="H48" s="610" t="s">
        <v>107</v>
      </c>
      <c r="I48" s="611" t="s">
        <v>108</v>
      </c>
      <c r="J48" s="600"/>
      <c r="K48" s="600"/>
      <c r="L48" s="608"/>
      <c r="M48" s="608"/>
      <c r="N48" s="608"/>
      <c r="O48" s="595"/>
      <c r="P48" s="595"/>
    </row>
    <row r="49" spans="1:16">
      <c r="A49" s="599" t="s">
        <v>279</v>
      </c>
      <c r="B49" s="612">
        <f t="shared" ref="B49:I49" si="2">$C$46*P30</f>
        <v>10691.470588235292</v>
      </c>
      <c r="C49" s="612">
        <f t="shared" si="2"/>
        <v>0</v>
      </c>
      <c r="D49" s="612">
        <f t="shared" si="2"/>
        <v>0</v>
      </c>
      <c r="E49" s="612">
        <f t="shared" si="2"/>
        <v>0</v>
      </c>
      <c r="F49" s="612">
        <f t="shared" si="2"/>
        <v>0</v>
      </c>
      <c r="G49" s="612">
        <f t="shared" si="2"/>
        <v>0</v>
      </c>
      <c r="H49" s="612">
        <f t="shared" si="2"/>
        <v>0</v>
      </c>
      <c r="I49" s="613">
        <f t="shared" si="2"/>
        <v>0</v>
      </c>
      <c r="J49" s="570"/>
      <c r="K49" s="570"/>
      <c r="L49" s="608"/>
      <c r="M49" s="608"/>
      <c r="N49" s="608"/>
      <c r="O49" s="595"/>
      <c r="P49" s="595"/>
    </row>
    <row r="50" spans="1:16" ht="15.75" thickBot="1">
      <c r="A50" s="614" t="s">
        <v>280</v>
      </c>
      <c r="B50" s="615">
        <f t="shared" ref="B50:I50" si="3">$B$46*P30</f>
        <v>15273.529411764704</v>
      </c>
      <c r="C50" s="615">
        <f t="shared" si="3"/>
        <v>0</v>
      </c>
      <c r="D50" s="615">
        <f t="shared" si="3"/>
        <v>0</v>
      </c>
      <c r="E50" s="615">
        <f t="shared" si="3"/>
        <v>0</v>
      </c>
      <c r="F50" s="615">
        <f t="shared" si="3"/>
        <v>0</v>
      </c>
      <c r="G50" s="615">
        <f t="shared" si="3"/>
        <v>0</v>
      </c>
      <c r="H50" s="615">
        <f t="shared" si="3"/>
        <v>0</v>
      </c>
      <c r="I50" s="616">
        <f t="shared" si="3"/>
        <v>0</v>
      </c>
      <c r="J50" s="570"/>
      <c r="K50" s="570"/>
      <c r="L50" s="608"/>
      <c r="M50" s="608"/>
      <c r="N50" s="608"/>
      <c r="O50" s="595"/>
      <c r="P50" s="595"/>
    </row>
    <row r="51" spans="1:16">
      <c r="J51" s="556"/>
      <c r="K51" s="556"/>
      <c r="L51" s="556"/>
      <c r="M51" s="556"/>
      <c r="N51" s="556"/>
    </row>
    <row r="52" spans="1:16">
      <c r="J52" s="556"/>
      <c r="K52" s="556"/>
      <c r="L52" s="556"/>
      <c r="M52" s="556"/>
      <c r="N52"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2021-06-29T15:36:48Z</dcterms:modified>
</cp:coreProperties>
</file>