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<sst xmlns="http://schemas.openxmlformats.org/spreadsheetml/2006/main" count="2476" uniqueCount="902">
  <si>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</si>
  <si>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</si>
  <si>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</si>
  <si>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</si>
  <si>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</si>
  <si>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</si>
  <si>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</si>
  <si>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</si>
  <si>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</si>
  <si>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</si>
  <si>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</si>
  <si>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</si>
  <si>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</si>
  <si>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</si>
  <si>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</si>
  <si>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</si>
  <si>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</si>
  <si>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</si>
  <si>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</si>
  <si>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</si>
  <si>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</si>
  <si>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</si>
  <si>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</si>
  <si>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</si>
  <si>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</si>
  <si>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</si>
  <si>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</si>
  <si>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</si>
  <si>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</si>
  <si>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</si>
  <si>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</si>
  <si>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</si>
  <si>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</si>
  <si>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</si>
  <si>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</si>
  <si>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</si>
  <si>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</si>
  <si>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</si>
  <si>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</si>
  <si>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</si>
  <si>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</si>
  <si>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</si>
  <si>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</si>
  <si>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</si>
  <si>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</si>
  <si>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</si>
  <si>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</si>
  <si>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</si>
  <si>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</si>
  <si>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</si>
  <si>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</si>
  <si>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</si>
  <si>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</si>
  <si>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</si>
  <si>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</si>
  <si>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</si>
  <si>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</si>
  <si>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</si>
  <si>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</si>
  <si>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</si>
  <si>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</si>
  <si>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</si>
  <si>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</si>
  <si>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</si>
  <si>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</si>
  <si>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</si>
  <si>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</si>
  <si>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</si>
  <si>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</si>
  <si>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</si>
  <si>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</si>
  <si>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</si>
  <si>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</si>
  <si>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</si>
  <si>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</si>
  <si>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</si>
  <si>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</si>
  <si>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</si>
  <si>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</si>
  <si>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</si>
  <si>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</si>
  <si>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</si>
  <si>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</si>
  <si>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</si>
  <si>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</si>
  <si>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</si>
  <si>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</si>
  <si>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</si>
  <si>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</si>
  <si>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</si>
  <si>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</si>
  <si>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</si>
  <si>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</si>
  <si>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</si>
  <si>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</si>
  <si>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</si>
  <si>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</si>
  <si>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</si>
  <si>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</si>
  <si>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</si>
  <si>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</si>
  <si>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</si>
  <si>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</si>
  <si>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</si>
  <si>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</si>
  <si>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</si>
  <si>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</si>
  <si>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</si>
  <si>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</si>
  <si>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</si>
  <si>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</si>
  <si>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</si>
  <si>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</si>
  <si>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</si>
  <si>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</si>
  <si>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</si>
  <si>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</si>
  <si>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</si>
  <si>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</si>
  <si>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</si>
  <si>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</si>
  <si>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</si>
  <si>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</si>
  <si>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</si>
  <si>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</si>
  <si>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</si>
  <si>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</si>
  <si>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</si>
  <si>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</si>
  <si>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</si>
  <si>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</si>
  <si>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</si>
  <si>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</si>
  <si>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</si>
  <si>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</si>
  <si>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</si>
  <si>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</si>
  <si>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</si>
  <si>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</si>
  <si>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</si>
  <si>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</si>
  <si>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</si>
  <si>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</si>
  <si>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</si>
  <si>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</si>
  <si>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</si>
  <si>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</si>
  <si>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</si>
  <si>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</si>
  <si>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</si>
  <si>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</si>
  <si>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</si>
  <si>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</si>
  <si>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</si>
  <si>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</si>
  <si>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</si>
  <si>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</si>
  <si>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</si>
  <si>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</si>
  <si>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</si>
  <si>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</si>
  <si>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</si>
  <si>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</si>
  <si>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</si>
  <si>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</si>
  <si>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</si>
  <si>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</si>
  <si>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</si>
  <si>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</si>
  <si>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</si>
  <si>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</si>
  <si>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</si>
  <si>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</si>
  <si>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</si>
  <si>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</si>
  <si>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</si>
  <si>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</si>
  <si>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</si>
  <si>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</si>
  <si>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</si>
  <si>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</si>
  <si>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</si>
  <si>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</si>
  <si>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</si>
  <si>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</si>
  <si>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</si>
  <si>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</si>
  <si>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</si>
  <si>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</si>
  <si>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</si>
  <si>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</si>
  <si>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</si>
  <si>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</si>
  <si>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</si>
  <si>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</si>
  <si>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</si>
  <si>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</si>
  <si>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</si>
  <si>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</si>
  <si>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</si>
  <si>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</si>
  <si>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</si>
  <si>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</si>
  <si>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</si>
  <si>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</si>
  <si>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</si>
  <si>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</si>
  <si>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</si>
  <si>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</si>
  <si>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</si>
  <si>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</si>
  <si>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</si>
  <si>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</si>
  <si>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</si>
  <si>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</si>
  <si>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</si>
  <si>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</si>
  <si>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</si>
  <si>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</si>
  <si>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</si>
  <si>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</si>
  <si>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</si>
  <si>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</si>
  <si>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</si>
  <si>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</si>
  <si>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</si>
  <si>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</si>
  <si>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</si>
  <si>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</si>
  <si>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</si>
  <si>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</si>
  <si>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</si>
  <si>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</si>
  <si>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</si>
  <si>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</si>
  <si>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</si>
  <si>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</si>
  <si>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</si>
  <si>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</si>
  <si>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</si>
  <si>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</si>
  <si>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</si>
  <si>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</si>
  <si>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</si>
  <si>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</si>
  <si>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</si>
  <si>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</si>
  <si>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</si>
  <si>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</si>
  <si>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</si>
  <si>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</si>
  <si>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</si>
  <si>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</si>
  <si>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</si>
  <si>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</si>
  <si>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</si>
  <si>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</si>
  <si>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</si>
  <si>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</si>
  <si>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</si>
  <si>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</si>
  <si>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</si>
  <si>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</si>
  <si>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</si>
  <si>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</si>
  <si>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</si>
  <si>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</si>
  <si>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</si>
  <si>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</si>
  <si>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</si>
  <si>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</si>
  <si>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</si>
  <si>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</si>
  <si>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</si>
  <si>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</si>
  <si>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</si>
  <si>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</si>
  <si>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</si>
  <si>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</si>
  <si>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</si>
  <si>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</si>
  <si>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</si>
  <si>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</si>
  <si>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</si>
  <si>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</si>
  <si>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</si>
  <si>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</si>
  <si>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</si>
  <si>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</si>
  <si>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</si>
  <si>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</si>
  <si>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</si>
  <si>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</si>
  <si>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</si>
  <si>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</si>
  <si>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</si>
  <si>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</si>
  <si>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</si>
  <si>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</si>
  <si>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</si>
  <si>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</si>
  <si>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</si>
  <si>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</si>
  <si>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</si>
  <si>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</si>
  <si>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</si>
  <si>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</si>
  <si>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</si>
  <si>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</si>
  <si>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</si>
  <si>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</si>
  <si>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</si>
  <si>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</si>
  <si>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</si>
  <si>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</si>
  <si>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</si>
  <si>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</si>
  <si>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</si>
  <si>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</si>
  <si>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</si>
  <si>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</si>
  <si>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</si>
  <si>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</si>
  <si>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</si>
  <si>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</si>
  <si>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</si>
  <si>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</si>
  <si>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</si>
  <si>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</si>
  <si>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</si>
  <si>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</si>
  <si>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</si>
  <si>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</si>
  <si>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</si>
  <si>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</si>
  <si>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</si>
  <si>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</si>
  <si>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</si>
  <si>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</si>
  <si>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</si>
  <si>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</si>
  <si>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</si>
  <si>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</si>
  <si>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</si>
  <si>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</si>
  <si>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</si>
  <si>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</si>
  <si>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</si>
  <si>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</si>
  <si>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</si>
  <si>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</si>
  <si>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</si>
  <si>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</si>
  <si>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</si>
  <si>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</si>
  <si>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</si>
  <si>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</si>
  <si>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</si>
  <si>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</si>
  <si>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</si>
  <si>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</si>
  <si>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</si>
  <si>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</si>
  <si>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</si>
  <si>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</si>
  <si>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</si>
  <si>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</si>
  <si>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</si>
  <si>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</si>
  <si>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</si>
  <si>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</si>
  <si>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</si>
  <si>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</si>
  <si>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</si>
  <si>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</si>
  <si>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</si>
  <si>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</si>
  <si>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</si>
  <si>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</si>
  <si>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</si>
  <si>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</si>
  <si>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</si>
  <si>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</si>
  <si>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</si>
  <si>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</si>
  <si>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</si>
  <si>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</si>
  <si>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</si>
  <si>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</si>
  <si>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</si>
  <si>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</si>
  <si>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</si>
  <si>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</si>
  <si>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</si>
  <si>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</si>
  <si>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</si>
  <si>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</si>
  <si>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</si>
  <si>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</si>
  <si>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</si>
  <si>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</si>
  <si>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</si>
  <si>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</si>
  <si>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</si>
  <si>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</si>
  <si>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</si>
  <si>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</si>
  <si>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</si>
  <si>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</si>
  <si>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</si>
  <si>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</si>
  <si>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</si>
  <si>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</si>
  <si>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</si>
  <si>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</si>
  <si>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</si>
  <si>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</si>
  <si>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</si>
  <si>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</si>
  <si>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</si>
  <si>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</si>
  <si>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</si>
  <si>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</si>
  <si>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</si>
  <si>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</si>
  <si>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</si>
  <si>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</si>
  <si>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</si>
  <si>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</si>
  <si>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</si>
  <si>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</si>
  <si>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</si>
  <si>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</si>
  <si>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</si>
  <si>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</si>
  <si>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</si>
  <si>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</si>
  <si>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</si>
  <si>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</si>
  <si>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</si>
  <si>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</si>
  <si>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</si>
  <si>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</si>
  <si>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</si>
  <si>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</si>
  <si>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</si>
  <si>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</si>
  <si>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</si>
  <si>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</si>
  <si>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</si>
  <si>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</si>
  <si>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</si>
  <si>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</si>
  <si>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</si>
  <si>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</si>
  <si>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</si>
  <si>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</si>
  <si>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</si>
  <si>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</si>
  <si>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</si>
  <si>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</si>
  <si>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</si>
  <si>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</si>
  <si>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</si>
  <si>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</si>
  <si>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</si>
  <si>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</si>
  <si>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</si>
  <si>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</si>
  <si>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</si>
  <si>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</si>
  <si>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</si>
  <si>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</si>
  <si>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</si>
  <si>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</si>
  <si>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</si>
  <si>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</si>
  <si>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</si>
  <si>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</si>
  <si>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</si>
  <si>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</si>
  <si>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</si>
  <si>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</si>
  <si>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</si>
  <si>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</si>
  <si>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</si>
  <si>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</si>
  <si>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</si>
  <si>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</si>
  <si>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</si>
  <si>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</si>
  <si>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</si>
  <si>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</si>
  <si>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</si>
  <si>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</si>
  <si>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</si>
  <si>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</si>
  <si>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</si>
  <si>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</si>
  <si>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</si>
  <si>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</si>
  <si>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</si>
  <si>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</si>
  <si>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</si>
  <si>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</si>
  <si>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</si>
  <si>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</si>
  <si>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</si>
  <si>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</si>
  <si>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</si>
  <si>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</si>
  <si>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</si>
  <si>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</si>
  <si>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</si>
  <si>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</si>
  <si>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</si>
  <si>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</si>
  <si>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</si>
  <si>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</si>
  <si>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</si>
  <si>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</si>
  <si>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</si>
  <si>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</si>
  <si>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</si>
  <si>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</si>
  <si>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</si>
  <si>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</si>
  <si>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</si>
  <si>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</si>
  <si>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</si>
  <si>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</si>
  <si>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</si>
  <si>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</si>
  <si>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</si>
  <si>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</si>
  <si>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</si>
  <si>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</si>
  <si>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</si>
  <si>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</si>
  <si>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</si>
  <si>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</si>
  <si>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</si>
  <si>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</si>
  <si>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</si>
  <si>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</si>
  <si>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</si>
  <si>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</si>
  <si>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</si>
  <si>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</si>
  <si>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</si>
  <si>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</si>
  <si>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</si>
  <si>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</si>
  <si>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</si>
  <si>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</si>
  <si>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</si>
  <si>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</si>
  <si>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</si>
  <si>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</si>
  <si>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</si>
  <si>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</si>
  <si>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</si>
  <si>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</si>
  <si>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</si>
  <si>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</si>
  <si>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</si>
  <si>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</si>
  <si>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</si>
  <si>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</si>
  <si>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</si>
  <si>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</si>
  <si>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</si>
  <si>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</si>
  <si>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</si>
  <si>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</si>
  <si>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</si>
  <si>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</si>
  <si>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</si>
  <si>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</si>
  <si>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</si>
  <si>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</si>
  <si>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</si>
  <si>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</si>
  <si>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</si>
  <si>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</si>
  <si>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</si>
  <si>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</si>
  <si>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</si>
  <si>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</si>
  <si>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</si>
  <si>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</si>
  <si>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</si>
  <si>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</si>
  <si>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</si>
  <si>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</si>
  <si>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</si>
  <si>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</si>
  <si>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</si>
  <si>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</si>
  <si>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</si>
  <si>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</si>
  <si>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</si>
  <si>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</si>
  <si>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</si>
  <si>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</si>
  <si>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</si>
  <si>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</si>
  <si>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</si>
  <si>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</si>
  <si>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</si>
  <si>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</si>
  <si>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</si>
  <si>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</si>
  <si>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</si>
  <si>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</si>
  <si>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</si>
  <si>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</si>
  <si>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</si>
  <si>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</si>
  <si>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</si>
  <si>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</si>
  <si>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</si>
  <si>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</si>
  <si>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</si>
  <si>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</si>
  <si>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</si>
  <si>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</si>
  <si>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</si>
  <si>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</si>
  <si>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</si>
  <si>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</si>
  <si>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</si>
  <si>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</si>
  <si>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</si>
  <si>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</si>
  <si>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</si>
  <si>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</si>
  <si>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</si>
  <si>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</si>
  <si>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</si>
  <si>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</si>
  <si>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</si>
  <si>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</si>
  <si>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</si>
  <si>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</si>
  <si>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</si>
  <si>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</si>
  <si>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</si>
  <si>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</si>
  <si>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</si>
  <si>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</si>
  <si>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</si>
  <si>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</si>
  <si>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</si>
  <si>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</si>
  <si>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</si>
  <si>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</si>
  <si>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</si>
  <si>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</si>
  <si>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</si>
  <si>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</si>
  <si>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</si>
  <si>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</si>
  <si>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</si>
  <si>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</si>
  <si>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</si>
  <si>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</si>
  <si>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</si>
  <si>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</si>
  <si>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</si>
  <si>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</si>
  <si>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</si>
  <si>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</si>
  <si>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</si>
  <si>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</si>
  <si>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</si>
  <si>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</si>
  <si>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</si>
  <si>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</si>
  <si>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</si>
  <si>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</si>
  <si>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</si>
  <si>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</si>
  <si>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</si>
  <si>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</si>
  <si>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</si>
  <si>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</si>
  <si>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</si>
  <si>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</si>
  <si>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</si>
  <si>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</si>
  <si>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</si>
  <si>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</si>
  <si>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</si>
  <si>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</si>
  <si>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</si>
  <si>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</si>
  <si>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</si>
  <si>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</si>
  <si>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</si>
  <si>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</si>
  <si>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</si>
  <si>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</si>
  <si>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</si>
  <si>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</si>
  <si>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</si>
  <si>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</si>
  <si>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</si>
  <si>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</si>
  <si>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</si>
  <si>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</si>
  <si>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</si>
  <si>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</si>
  <si>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</si>
  <si>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</si>
  <si>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</si>
  <si>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</si>
  <si>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</si>
  <si>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</si>
  <si>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</si>
  <si>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</si>
  <si>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</si>
  <si>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</si>
  <si>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</si>
  <si>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</si>
  <si>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</si>
  <si>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</si>
  <si>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</si>
  <si>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</si>
  <si>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</si>
  <si>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</si>
  <si>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</si>
  <si>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</si>
  <si>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</si>
  <si>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</si>
  <si>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</si>
  <si>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</si>
  <si>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</si>
  <si>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</si>
  <si>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</si>
  <si>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</si>
  <si>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</si>
  <si>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</si>
  <si>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</si>
  <si>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</si>
  <si>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</si>
  <si>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</si>
  <si>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</si>
  <si>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</si>
  <si>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</si>
  <si>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</si>
  <si>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</si>
  <si>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</si>
  <si>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</si>
  <si>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</si>
  <si>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</si>
  <si>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</si>
  <si>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</si>
  <si>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</si>
  <si>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</si>
  <si>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</si>
  <si>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</si>
  <si>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</si>
  <si>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</si>
  <si>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</si>
  <si>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</si>
  <si>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</si>
  <si>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</si>
  <si>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</si>
  <si>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</si>
  <si>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</si>
  <si>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</si>
  <si>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</si>
  <si>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</si>
  <si>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</si>
  <si>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</si>
  <si>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</si>
  <si>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</si>
  <si>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</si>
  <si>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</si>
  <si>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</si>
  <si>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</si>
  <si>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</si>
  <si>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</si>
  <si>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</si>
  <si>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</si>
  <si>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</si>
  <si>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</si>
  <si>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</si>
  <si>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</si>
  <si>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</si>
  <si>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</si>
  <si>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</si>
  <si>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</si>
  <si>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</si>
  <si>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</si>
  <si>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</si>
  <si>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</si>
  <si>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</si>
  <si>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</si>
  <si>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</si>
  <si>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</si>
  <si>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</si>
  <si>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</si>
  <si>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</si>
  <si>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</si>
  <si>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</si>
  <si>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</si>
  <si>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</si>
  <si>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</si>
  <si>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</si>
  <si>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</si>
  <si>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</si>
  <si>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</si>
  <si>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</si>
  <si>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</si>
  <si>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</si>
  <si>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</si>
  <si>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</si>
  <si>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</si>
  <si>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</si>
  <si>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</si>
  <si>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</si>
  <si>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</si>
  <si>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</si>
  <si>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</si>
  <si>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</si>
  <si>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</si>
  <si>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</si>
  <si>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</si>
  <si>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</si>
  <si>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</si>
  <si>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</si>
  <si>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</si>
  <si>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</si>
  <si>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</si>
  <si>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</si>
  <si>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</si>
  <si>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</si>
  <si>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</si>
  <si>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</si>
  <si>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</si>
  <si>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</si>
  <si>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</si>
  <si>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</si>
  <si>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</si>
  <si>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</si>
  <si>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</si>
  <si>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</si>
  <si>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</si>
  <si>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</si>
  <si>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</si>
  <si>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</si>
  <si>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</si>
  <si>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</si>
  <si>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</si>
  <si>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</si>
  <si>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</si>
  <si>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</si>
  <si>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</si>
  <si>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</si>
  <si>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</si>
  <si>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</si>
  <si>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</si>
  <si>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</si>
  <si>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</si>
  <si>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</si>
  <si>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</si>
  <si>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</si>
  <si>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</si>
  <si>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</si>
  <si>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</si>
  <si>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</si>
  <si>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</si>
  <si>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</si>
  <si>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</si>
  <si>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</si>
  <si>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</si>
  <si>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</si>
  <si>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</si>
  <si>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</si>
  <si>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</si>
  <si>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</si>
  <si>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</si>
  <si>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</si>
  <si>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</si>
  <si>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</si>
  <si>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</si>
  <si>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</si>
  <si>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</si>
  <si>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</si>
  <si>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</si>
  <si>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</si>
  <si>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</si>
  <si>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</si>
  <si>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</si>
  <si>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</si>
  <si>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</si>
  <si>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12040</t>
  </si>
  <si>
    <t>WILLEBROEK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</si>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</sst>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200485.55330313696</c:v>
                </c:pt>
                <c:pt idx="1">
                  <c:v>118940.22704931897</c:v>
                </c:pt>
                <c:pt idx="2">
                  <c:v>1584.825</c:v>
                </c:pt>
                <c:pt idx="3">
                  <c:v>1764.7108994008477</c:v>
                </c:pt>
                <c:pt idx="4">
                  <c:v>300276.48020014609</c:v>
                </c:pt>
                <c:pt idx="5">
                  <c:v>323281.47281135898</c:v>
                </c:pt>
                <c:pt idx="6">
                  <c:v>2133.080729907279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200485.55330313696</c:v>
                </c:pt>
                <c:pt idx="1">
                  <c:v>118940.22704931897</c:v>
                </c:pt>
                <c:pt idx="2">
                  <c:v>1584.825</c:v>
                </c:pt>
                <c:pt idx="3">
                  <c:v>1764.7108994008477</c:v>
                </c:pt>
                <c:pt idx="4">
                  <c:v>300276.48020014609</c:v>
                </c:pt>
                <c:pt idx="5">
                  <c:v>323281.47281135898</c:v>
                </c:pt>
                <c:pt idx="6">
                  <c:v>2133.080729907279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38485.967480688952</c:v>
                </c:pt>
                <c:pt idx="2">
                  <c:v>22805.691941254463</c:v>
                </c:pt>
                <c:pt idx="3">
                  <c:v>291.88553219165749</c:v>
                </c:pt>
                <c:pt idx="4">
                  <c:v>441.62020678762877</c:v>
                </c:pt>
                <c:pt idx="5">
                  <c:v>59415.380719819063</c:v>
                </c:pt>
                <c:pt idx="6">
                  <c:v>81094.032076515621</c:v>
                </c:pt>
                <c:pt idx="7">
                  <c:v>537.06923765181648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38485.967480688952</c:v>
                </c:pt>
                <c:pt idx="2">
                  <c:v>22805.691941254463</c:v>
                </c:pt>
                <c:pt idx="3">
                  <c:v>291.88553219165749</c:v>
                </c:pt>
                <c:pt idx="4">
                  <c:v>441.62020678762877</c:v>
                </c:pt>
                <c:pt idx="5">
                  <c:v>59415.380719819063</c:v>
                </c:pt>
                <c:pt idx="6">
                  <c:v>81094.032076515621</c:v>
                </c:pt>
                <c:pt idx="7">
                  <c:v>537.06923765181648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12040</v>
      </c>
      <c r="B6" s="384"/>
      <c r="C6" s="385"/>
    </row>
    <row r="7" spans="1:7" s="382" customFormat="1" ht="15.75" customHeight="1">
      <c r="A7" s="386" t="str">
        <f>txtMunicipality</f>
        <v>WILLEBROEK</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57082.933367886093</v>
      </c>
      <c r="D10" s="973">
        <f ca="1">tertiair!C16</f>
        <v>0</v>
      </c>
      <c r="E10" s="973">
        <f ca="1">tertiair!D16</f>
        <v>48486.601575735811</v>
      </c>
      <c r="F10" s="973">
        <f>tertiair!E16</f>
        <v>834.43197852996263</v>
      </c>
      <c r="G10" s="973">
        <f ca="1">tertiair!F16</f>
        <v>9739.9488430265392</v>
      </c>
      <c r="H10" s="973">
        <f>tertiair!G16</f>
        <v>0</v>
      </c>
      <c r="I10" s="973">
        <f>tertiair!H16</f>
        <v>0</v>
      </c>
      <c r="J10" s="973">
        <f>tertiair!I16</f>
        <v>0</v>
      </c>
      <c r="K10" s="973">
        <f>tertiair!J16</f>
        <v>0.10828629777548557</v>
      </c>
      <c r="L10" s="973">
        <f>tertiair!K16</f>
        <v>0</v>
      </c>
      <c r="M10" s="973">
        <f ca="1">tertiair!L16</f>
        <v>0</v>
      </c>
      <c r="N10" s="973">
        <f>tertiair!M16</f>
        <v>0</v>
      </c>
      <c r="O10" s="973">
        <f ca="1">tertiair!N16</f>
        <v>4322.2646645094455</v>
      </c>
      <c r="P10" s="973">
        <f>tertiair!O16</f>
        <v>1.5633333333333335</v>
      </c>
      <c r="Q10" s="974">
        <f>tertiair!P16</f>
        <v>57.2</v>
      </c>
      <c r="R10" s="668">
        <f ca="1">SUM(C10:Q10)</f>
        <v>120525.05204931895</v>
      </c>
      <c r="S10" s="67"/>
    </row>
    <row r="11" spans="1:19" s="441" customFormat="1">
      <c r="A11" s="777" t="s">
        <v>219</v>
      </c>
      <c r="B11" s="782"/>
      <c r="C11" s="973">
        <f>huishoudens!B8</f>
        <v>35439.321695309685</v>
      </c>
      <c r="D11" s="973">
        <f>huishoudens!C8</f>
        <v>0</v>
      </c>
      <c r="E11" s="973">
        <f>huishoudens!D8</f>
        <v>120131.59673820621</v>
      </c>
      <c r="F11" s="973">
        <f>huishoudens!E8</f>
        <v>1093.4788358750295</v>
      </c>
      <c r="G11" s="973">
        <f>huishoudens!F8</f>
        <v>27703.85216138461</v>
      </c>
      <c r="H11" s="973">
        <f>huishoudens!G8</f>
        <v>0</v>
      </c>
      <c r="I11" s="973">
        <f>huishoudens!H8</f>
        <v>0</v>
      </c>
      <c r="J11" s="973">
        <f>huishoudens!I8</f>
        <v>0</v>
      </c>
      <c r="K11" s="973">
        <f>huishoudens!J8</f>
        <v>133.30782847209272</v>
      </c>
      <c r="L11" s="973">
        <f>huishoudens!K8</f>
        <v>0</v>
      </c>
      <c r="M11" s="973">
        <f>huishoudens!L8</f>
        <v>0</v>
      </c>
      <c r="N11" s="973">
        <f>huishoudens!M8</f>
        <v>0</v>
      </c>
      <c r="O11" s="973">
        <f>huishoudens!N8</f>
        <v>14175.729377222695</v>
      </c>
      <c r="P11" s="973">
        <f>huishoudens!O8</f>
        <v>187.6</v>
      </c>
      <c r="Q11" s="974">
        <f>huishoudens!P8</f>
        <v>1620.6666666666665</v>
      </c>
      <c r="R11" s="668">
        <f>SUM(C11:Q11)</f>
        <v>200485.55330313696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77823.630196409722</v>
      </c>
      <c r="D13" s="973">
        <f>industrie!C18</f>
        <v>0</v>
      </c>
      <c r="E13" s="973">
        <f>industrie!D18</f>
        <v>195362.1935686536</v>
      </c>
      <c r="F13" s="973">
        <f>industrie!E18</f>
        <v>4770.0656005797628</v>
      </c>
      <c r="G13" s="973">
        <f>industrie!F18</f>
        <v>16646.431816256612</v>
      </c>
      <c r="H13" s="973">
        <f>industrie!G18</f>
        <v>0</v>
      </c>
      <c r="I13" s="973">
        <f>industrie!H18</f>
        <v>0</v>
      </c>
      <c r="J13" s="973">
        <f>industrie!I18</f>
        <v>0</v>
      </c>
      <c r="K13" s="973">
        <f>industrie!J18</f>
        <v>258.83982294566476</v>
      </c>
      <c r="L13" s="973">
        <f>industrie!K18</f>
        <v>0</v>
      </c>
      <c r="M13" s="973">
        <f>industrie!L18</f>
        <v>0</v>
      </c>
      <c r="N13" s="973">
        <f>industrie!M18</f>
        <v>0</v>
      </c>
      <c r="O13" s="973">
        <f>industrie!N18</f>
        <v>5415.319195300759</v>
      </c>
      <c r="P13" s="973">
        <f>industrie!O18</f>
        <v>0</v>
      </c>
      <c r="Q13" s="974">
        <f>industrie!P18</f>
        <v>0</v>
      </c>
      <c r="R13" s="668">
        <f>SUM(C13:Q13)</f>
        <v>300276.48020014609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170345.88525960548</v>
      </c>
      <c r="D16" s="700">
        <f t="shared" ref="D16:R16" ca="1" si="0">SUM(D9:D15)</f>
        <v>0</v>
      </c>
      <c r="E16" s="700">
        <f t="shared" ca="1" si="0"/>
        <v>363980.39188259561</v>
      </c>
      <c r="F16" s="700">
        <f t="shared" si="0"/>
        <v>6697.9764149847551</v>
      </c>
      <c r="G16" s="700">
        <f t="shared" ca="1" si="0"/>
        <v>54090.232820667763</v>
      </c>
      <c r="H16" s="700">
        <f t="shared" si="0"/>
        <v>0</v>
      </c>
      <c r="I16" s="700">
        <f t="shared" si="0"/>
        <v>0</v>
      </c>
      <c r="J16" s="700">
        <f t="shared" si="0"/>
        <v>0</v>
      </c>
      <c r="K16" s="700">
        <f t="shared" si="0"/>
        <v>392.25593771553298</v>
      </c>
      <c r="L16" s="700">
        <f t="shared" si="0"/>
        <v>0</v>
      </c>
      <c r="M16" s="700">
        <f t="shared" ca="1" si="0"/>
        <v>0</v>
      </c>
      <c r="N16" s="700">
        <f t="shared" si="0"/>
        <v>0</v>
      </c>
      <c r="O16" s="700">
        <f t="shared" ca="1" si="0"/>
        <v>23913.3132370329</v>
      </c>
      <c r="P16" s="700">
        <f t="shared" si="0"/>
        <v>189.16333333333333</v>
      </c>
      <c r="Q16" s="700">
        <f t="shared" si="0"/>
        <v>1677.8666666666666</v>
      </c>
      <c r="R16" s="700">
        <f t="shared" ca="1" si="0"/>
        <v>621287.08555260208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21.256452035377482</v>
      </c>
      <c r="D19" s="973">
        <f>transport!C54</f>
        <v>0</v>
      </c>
      <c r="E19" s="973">
        <f>transport!D54</f>
        <v>0</v>
      </c>
      <c r="F19" s="973">
        <f>transport!E54</f>
        <v>0</v>
      </c>
      <c r="G19" s="973">
        <f>transport!F54</f>
        <v>0</v>
      </c>
      <c r="H19" s="973">
        <f>transport!G54</f>
        <v>1996.8326793880642</v>
      </c>
      <c r="I19" s="973">
        <f>transport!H54</f>
        <v>0</v>
      </c>
      <c r="J19" s="973">
        <f>transport!I54</f>
        <v>0</v>
      </c>
      <c r="K19" s="973">
        <f>transport!J54</f>
        <v>0</v>
      </c>
      <c r="L19" s="973">
        <f>transport!K54</f>
        <v>0</v>
      </c>
      <c r="M19" s="973">
        <f>transport!L54</f>
        <v>0</v>
      </c>
      <c r="N19" s="973">
        <f>transport!M54</f>
        <v>114.99159848383758</v>
      </c>
      <c r="O19" s="973">
        <f>transport!N54</f>
        <v>0</v>
      </c>
      <c r="P19" s="973">
        <f>transport!O54</f>
        <v>0</v>
      </c>
      <c r="Q19" s="974">
        <f>transport!P54</f>
        <v>0</v>
      </c>
      <c r="R19" s="668">
        <f>SUM(C19:Q19)</f>
        <v>2133.080729907279</v>
      </c>
      <c r="S19" s="67"/>
    </row>
    <row r="20" spans="1:19" s="441" customFormat="1">
      <c r="A20" s="777" t="s">
        <v>301</v>
      </c>
      <c r="B20" s="782"/>
      <c r="C20" s="973">
        <f>transport!B14</f>
        <v>147.78402380026375</v>
      </c>
      <c r="D20" s="973">
        <f>transport!C14</f>
        <v>0</v>
      </c>
      <c r="E20" s="973">
        <f>transport!D14</f>
        <v>244.66193433468945</v>
      </c>
      <c r="F20" s="973">
        <f>transport!E14</f>
        <v>444.64178058577551</v>
      </c>
      <c r="G20" s="973">
        <f>transport!F14</f>
        <v>0</v>
      </c>
      <c r="H20" s="973">
        <f>transport!G14</f>
        <v>266074.7237401579</v>
      </c>
      <c r="I20" s="973">
        <f>transport!H14</f>
        <v>39656.655759910784</v>
      </c>
      <c r="J20" s="973">
        <f>transport!I14</f>
        <v>0</v>
      </c>
      <c r="K20" s="973">
        <f>transport!J14</f>
        <v>0</v>
      </c>
      <c r="L20" s="973">
        <f>transport!K14</f>
        <v>0</v>
      </c>
      <c r="M20" s="973">
        <f>transport!L14</f>
        <v>0</v>
      </c>
      <c r="N20" s="973">
        <f>transport!M14</f>
        <v>16713.005572569622</v>
      </c>
      <c r="O20" s="973">
        <f>transport!N14</f>
        <v>0</v>
      </c>
      <c r="P20" s="973">
        <f>transport!O14</f>
        <v>0</v>
      </c>
      <c r="Q20" s="974">
        <f>transport!P14</f>
        <v>0</v>
      </c>
      <c r="R20" s="668">
        <f>SUM(C20:Q20)</f>
        <v>323281.47281135898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169.04047583564125</v>
      </c>
      <c r="D22" s="780">
        <f t="shared" ref="D22:R22" si="1">SUM(D18:D21)</f>
        <v>0</v>
      </c>
      <c r="E22" s="780">
        <f t="shared" si="1"/>
        <v>244.66193433468945</v>
      </c>
      <c r="F22" s="780">
        <f t="shared" si="1"/>
        <v>444.64178058577551</v>
      </c>
      <c r="G22" s="780">
        <f t="shared" si="1"/>
        <v>0</v>
      </c>
      <c r="H22" s="780">
        <f t="shared" si="1"/>
        <v>268071.55641954596</v>
      </c>
      <c r="I22" s="780">
        <f t="shared" si="1"/>
        <v>39656.655759910784</v>
      </c>
      <c r="J22" s="780">
        <f t="shared" si="1"/>
        <v>0</v>
      </c>
      <c r="K22" s="780">
        <f t="shared" si="1"/>
        <v>0</v>
      </c>
      <c r="L22" s="780">
        <f t="shared" si="1"/>
        <v>0</v>
      </c>
      <c r="M22" s="780">
        <f t="shared" si="1"/>
        <v>0</v>
      </c>
      <c r="N22" s="780">
        <f t="shared" si="1"/>
        <v>16827.997171053459</v>
      </c>
      <c r="O22" s="780">
        <f t="shared" si="1"/>
        <v>0</v>
      </c>
      <c r="P22" s="780">
        <f t="shared" si="1"/>
        <v>0</v>
      </c>
      <c r="Q22" s="780">
        <f t="shared" si="1"/>
        <v>0</v>
      </c>
      <c r="R22" s="780">
        <f t="shared" si="1"/>
        <v>325414.55354126624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308.8248716146631</v>
      </c>
      <c r="D24" s="973">
        <f>+landbouw!C8</f>
        <v>0</v>
      </c>
      <c r="E24" s="973">
        <f>+landbouw!D8</f>
        <v>115.51890261592992</v>
      </c>
      <c r="F24" s="973">
        <f>+landbouw!E8</f>
        <v>9.0773062367853452</v>
      </c>
      <c r="G24" s="973">
        <f>+landbouw!F8</f>
        <v>1286.5477271265395</v>
      </c>
      <c r="H24" s="973">
        <f>+landbouw!G8</f>
        <v>0</v>
      </c>
      <c r="I24" s="973">
        <f>+landbouw!H8</f>
        <v>0</v>
      </c>
      <c r="J24" s="973">
        <f>+landbouw!I8</f>
        <v>0</v>
      </c>
      <c r="K24" s="973">
        <f>+landbouw!J8</f>
        <v>44.742091806929963</v>
      </c>
      <c r="L24" s="973">
        <f>+landbouw!K8</f>
        <v>0</v>
      </c>
      <c r="M24" s="973">
        <f>+landbouw!L8</f>
        <v>0</v>
      </c>
      <c r="N24" s="973">
        <f>+landbouw!M8</f>
        <v>0</v>
      </c>
      <c r="O24" s="973">
        <f>+landbouw!N8</f>
        <v>0</v>
      </c>
      <c r="P24" s="973">
        <f>+landbouw!O8</f>
        <v>0</v>
      </c>
      <c r="Q24" s="974">
        <f>+landbouw!P8</f>
        <v>0</v>
      </c>
      <c r="R24" s="668">
        <f>SUM(C24:Q24)</f>
        <v>1764.7108994008477</v>
      </c>
      <c r="S24" s="67"/>
    </row>
    <row r="25" spans="1:19" s="441" customFormat="1" ht="15" thickBot="1">
      <c r="A25" s="799" t="s">
        <v>808</v>
      </c>
      <c r="B25" s="976"/>
      <c r="C25" s="977">
        <f>IF(Onbekend_ele_kWh="---",0,Onbekend_ele_kWh)/1000+IF(REST_rest_ele_kWh="---",0,REST_rest_ele_kWh)/1000</f>
        <v>1339.6439990741699</v>
      </c>
      <c r="D25" s="977"/>
      <c r="E25" s="977">
        <f>IF(onbekend_gas_kWh="---",0,onbekend_gas_kWh)/1000+IF(REST_rest_gas_kWh="---",0,REST_rest_gas_kWh)/1000</f>
        <v>4170.8986186296106</v>
      </c>
      <c r="F25" s="977"/>
      <c r="G25" s="977"/>
      <c r="H25" s="977"/>
      <c r="I25" s="977"/>
      <c r="J25" s="977"/>
      <c r="K25" s="977"/>
      <c r="L25" s="977"/>
      <c r="M25" s="977"/>
      <c r="N25" s="977"/>
      <c r="O25" s="977"/>
      <c r="P25" s="977"/>
      <c r="Q25" s="978"/>
      <c r="R25" s="668">
        <f>SUM(C25:Q25)</f>
        <v>5510.5426177037807</v>
      </c>
      <c r="S25" s="67"/>
    </row>
    <row r="26" spans="1:19" s="441" customFormat="1" ht="15.75" thickBot="1">
      <c r="A26" s="673" t="s">
        <v>809</v>
      </c>
      <c r="B26" s="785"/>
      <c r="C26" s="780">
        <f>SUM(C24:C25)</f>
        <v>1648.468870688833</v>
      </c>
      <c r="D26" s="780">
        <f t="shared" ref="D26:R26" si="2">SUM(D24:D25)</f>
        <v>0</v>
      </c>
      <c r="E26" s="780">
        <f t="shared" si="2"/>
        <v>4286.4175212455402</v>
      </c>
      <c r="F26" s="780">
        <f t="shared" si="2"/>
        <v>9.0773062367853452</v>
      </c>
      <c r="G26" s="780">
        <f t="shared" si="2"/>
        <v>1286.5477271265395</v>
      </c>
      <c r="H26" s="780">
        <f t="shared" si="2"/>
        <v>0</v>
      </c>
      <c r="I26" s="780">
        <f t="shared" si="2"/>
        <v>0</v>
      </c>
      <c r="J26" s="780">
        <f t="shared" si="2"/>
        <v>0</v>
      </c>
      <c r="K26" s="780">
        <f t="shared" si="2"/>
        <v>44.742091806929963</v>
      </c>
      <c r="L26" s="780">
        <f t="shared" si="2"/>
        <v>0</v>
      </c>
      <c r="M26" s="780">
        <f t="shared" si="2"/>
        <v>0</v>
      </c>
      <c r="N26" s="780">
        <f t="shared" si="2"/>
        <v>0</v>
      </c>
      <c r="O26" s="780">
        <f t="shared" si="2"/>
        <v>0</v>
      </c>
      <c r="P26" s="780">
        <f t="shared" si="2"/>
        <v>0</v>
      </c>
      <c r="Q26" s="780">
        <f t="shared" si="2"/>
        <v>0</v>
      </c>
      <c r="R26" s="780">
        <f t="shared" si="2"/>
        <v>7275.2535171046284</v>
      </c>
      <c r="S26" s="67"/>
    </row>
    <row r="27" spans="1:19" s="441" customFormat="1" ht="17.25" thickTop="1" thickBot="1">
      <c r="A27" s="674" t="s">
        <v>115</v>
      </c>
      <c r="B27" s="773"/>
      <c r="C27" s="675">
        <f ca="1">C22+C16+C26</f>
        <v>172163.39460612996</v>
      </c>
      <c r="D27" s="675">
        <f t="shared" ref="D27:R27" ca="1" si="3">D22+D16+D26</f>
        <v>0</v>
      </c>
      <c r="E27" s="675">
        <f t="shared" ca="1" si="3"/>
        <v>368511.47133817582</v>
      </c>
      <c r="F27" s="675">
        <f t="shared" si="3"/>
        <v>7151.6955018073158</v>
      </c>
      <c r="G27" s="675">
        <f t="shared" ca="1" si="3"/>
        <v>55376.780547794304</v>
      </c>
      <c r="H27" s="675">
        <f t="shared" si="3"/>
        <v>268071.55641954596</v>
      </c>
      <c r="I27" s="675">
        <f t="shared" si="3"/>
        <v>39656.655759910784</v>
      </c>
      <c r="J27" s="675">
        <f t="shared" si="3"/>
        <v>0</v>
      </c>
      <c r="K27" s="675">
        <f t="shared" si="3"/>
        <v>436.99802952246296</v>
      </c>
      <c r="L27" s="675">
        <f t="shared" si="3"/>
        <v>0</v>
      </c>
      <c r="M27" s="675">
        <f t="shared" ca="1" si="3"/>
        <v>0</v>
      </c>
      <c r="N27" s="675">
        <f t="shared" si="3"/>
        <v>16827.997171053459</v>
      </c>
      <c r="O27" s="675">
        <f t="shared" ca="1" si="3"/>
        <v>23913.3132370329</v>
      </c>
      <c r="P27" s="675">
        <f t="shared" si="3"/>
        <v>189.16333333333333</v>
      </c>
      <c r="Q27" s="675">
        <f t="shared" si="3"/>
        <v>1677.8666666666666</v>
      </c>
      <c r="R27" s="675">
        <f t="shared" ca="1" si="3"/>
        <v>953976.89261097298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10513.263221583682</v>
      </c>
      <c r="D40" s="973">
        <f ca="1">tertiair!C20</f>
        <v>0</v>
      </c>
      <c r="E40" s="973">
        <f ca="1">tertiair!D20</f>
        <v>9794.2935182986348</v>
      </c>
      <c r="F40" s="973">
        <f>tertiair!E20</f>
        <v>189.41605912630152</v>
      </c>
      <c r="G40" s="973">
        <f ca="1">tertiair!F20</f>
        <v>2600.5663410880861</v>
      </c>
      <c r="H40" s="973">
        <f>tertiair!G20</f>
        <v>0</v>
      </c>
      <c r="I40" s="973">
        <f>tertiair!H20</f>
        <v>0</v>
      </c>
      <c r="J40" s="973">
        <f>tertiair!I20</f>
        <v>0</v>
      </c>
      <c r="K40" s="973">
        <f>tertiair!J20</f>
        <v>3.8333349412521887E-2</v>
      </c>
      <c r="L40" s="973">
        <f>tertiair!K20</f>
        <v>0</v>
      </c>
      <c r="M40" s="973">
        <f ca="1">tertiair!L20</f>
        <v>0</v>
      </c>
      <c r="N40" s="973">
        <f>tertiair!M20</f>
        <v>0</v>
      </c>
      <c r="O40" s="973">
        <f ca="1">tertiair!N20</f>
        <v>0</v>
      </c>
      <c r="P40" s="973">
        <f>tertiair!O20</f>
        <v>0</v>
      </c>
      <c r="Q40" s="742">
        <f>tertiair!P20</f>
        <v>0</v>
      </c>
      <c r="R40" s="818">
        <f t="shared" ca="1" si="4"/>
        <v>23097.577473446119</v>
      </c>
    </row>
    <row r="41" spans="1:18">
      <c r="A41" s="790" t="s">
        <v>219</v>
      </c>
      <c r="B41" s="797"/>
      <c r="C41" s="973">
        <f ca="1">huishoudens!B12</f>
        <v>6527.0457454588495</v>
      </c>
      <c r="D41" s="973">
        <f ca="1">huishoudens!C12</f>
        <v>0</v>
      </c>
      <c r="E41" s="973">
        <f>huishoudens!D12</f>
        <v>24266.582541117656</v>
      </c>
      <c r="F41" s="973">
        <f>huishoudens!E12</f>
        <v>248.21969574363172</v>
      </c>
      <c r="G41" s="973">
        <f>huishoudens!F12</f>
        <v>7396.9285270896908</v>
      </c>
      <c r="H41" s="973">
        <f>huishoudens!G12</f>
        <v>0</v>
      </c>
      <c r="I41" s="973">
        <f>huishoudens!H12</f>
        <v>0</v>
      </c>
      <c r="J41" s="973">
        <f>huishoudens!I12</f>
        <v>0</v>
      </c>
      <c r="K41" s="973">
        <f>huishoudens!J12</f>
        <v>47.190971279120824</v>
      </c>
      <c r="L41" s="973">
        <f>huishoudens!K12</f>
        <v>0</v>
      </c>
      <c r="M41" s="973">
        <f>huishoudens!L12</f>
        <v>0</v>
      </c>
      <c r="N41" s="973">
        <f>huishoudens!M12</f>
        <v>0</v>
      </c>
      <c r="O41" s="973">
        <f>huishoudens!N12</f>
        <v>0</v>
      </c>
      <c r="P41" s="973">
        <f>huishoudens!O12</f>
        <v>0</v>
      </c>
      <c r="Q41" s="742">
        <f>huishoudens!P12</f>
        <v>0</v>
      </c>
      <c r="R41" s="818">
        <f t="shared" ca="1" si="4"/>
        <v>38485.967480688952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14333.186135356143</v>
      </c>
      <c r="D43" s="973">
        <f ca="1">industrie!C22</f>
        <v>0</v>
      </c>
      <c r="E43" s="973">
        <f>industrie!D22</f>
        <v>39463.163100868027</v>
      </c>
      <c r="F43" s="973">
        <f>industrie!E22</f>
        <v>1082.8048913316061</v>
      </c>
      <c r="G43" s="973">
        <f>industrie!F22</f>
        <v>4444.5972949405159</v>
      </c>
      <c r="H43" s="973">
        <f>industrie!G22</f>
        <v>0</v>
      </c>
      <c r="I43" s="973">
        <f>industrie!H22</f>
        <v>0</v>
      </c>
      <c r="J43" s="973">
        <f>industrie!I22</f>
        <v>0</v>
      </c>
      <c r="K43" s="973">
        <f>industrie!J22</f>
        <v>91.629297322765325</v>
      </c>
      <c r="L43" s="973">
        <f>industrie!K22</f>
        <v>0</v>
      </c>
      <c r="M43" s="973">
        <f>industrie!L22</f>
        <v>0</v>
      </c>
      <c r="N43" s="973">
        <f>industrie!M22</f>
        <v>0</v>
      </c>
      <c r="O43" s="973">
        <f>industrie!N22</f>
        <v>0</v>
      </c>
      <c r="P43" s="973">
        <f>industrie!O22</f>
        <v>0</v>
      </c>
      <c r="Q43" s="742">
        <f>industrie!P22</f>
        <v>0</v>
      </c>
      <c r="R43" s="817">
        <f t="shared" ca="1" si="4"/>
        <v>59415.380719819063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31373.495102398676</v>
      </c>
      <c r="D46" s="700">
        <f t="shared" ref="D46:Q46" ca="1" si="5">SUM(D39:D45)</f>
        <v>0</v>
      </c>
      <c r="E46" s="700">
        <f t="shared" ca="1" si="5"/>
        <v>73524.039160284316</v>
      </c>
      <c r="F46" s="700">
        <f t="shared" si="5"/>
        <v>1520.4406462015393</v>
      </c>
      <c r="G46" s="700">
        <f t="shared" ca="1" si="5"/>
        <v>14442.092163118294</v>
      </c>
      <c r="H46" s="700">
        <f t="shared" si="5"/>
        <v>0</v>
      </c>
      <c r="I46" s="700">
        <f t="shared" si="5"/>
        <v>0</v>
      </c>
      <c r="J46" s="700">
        <f t="shared" si="5"/>
        <v>0</v>
      </c>
      <c r="K46" s="700">
        <f t="shared" si="5"/>
        <v>138.85860195129868</v>
      </c>
      <c r="L46" s="700">
        <f t="shared" si="5"/>
        <v>0</v>
      </c>
      <c r="M46" s="700">
        <f t="shared" ca="1" si="5"/>
        <v>0</v>
      </c>
      <c r="N46" s="700">
        <f t="shared" si="5"/>
        <v>0</v>
      </c>
      <c r="O46" s="700">
        <f t="shared" ca="1" si="5"/>
        <v>0</v>
      </c>
      <c r="P46" s="700">
        <f t="shared" si="5"/>
        <v>0</v>
      </c>
      <c r="Q46" s="700">
        <f t="shared" si="5"/>
        <v>0</v>
      </c>
      <c r="R46" s="700">
        <f ca="1">SUM(R39:R45)</f>
        <v>120998.92567395413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3.9149122552033178</v>
      </c>
      <c r="D49" s="973">
        <f ca="1">transport!C58</f>
        <v>0</v>
      </c>
      <c r="E49" s="973">
        <f>transport!D58</f>
        <v>0</v>
      </c>
      <c r="F49" s="973">
        <f>transport!E58</f>
        <v>0</v>
      </c>
      <c r="G49" s="973">
        <f>transport!F58</f>
        <v>0</v>
      </c>
      <c r="H49" s="973">
        <f>transport!G58</f>
        <v>533.15432539661322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537.06923765181648</v>
      </c>
    </row>
    <row r="50" spans="1:18">
      <c r="A50" s="793" t="s">
        <v>301</v>
      </c>
      <c r="B50" s="803"/>
      <c r="C50" s="671">
        <f ca="1">transport!B18</f>
        <v>27.218158747094829</v>
      </c>
      <c r="D50" s="671">
        <f>transport!C18</f>
        <v>0</v>
      </c>
      <c r="E50" s="671">
        <f>transport!D18</f>
        <v>49.42171073560727</v>
      </c>
      <c r="F50" s="671">
        <f>transport!E18</f>
        <v>100.93368419297104</v>
      </c>
      <c r="G50" s="671">
        <f>transport!F18</f>
        <v>0</v>
      </c>
      <c r="H50" s="671">
        <f>transport!G18</f>
        <v>71041.951238622161</v>
      </c>
      <c r="I50" s="671">
        <f>transport!H18</f>
        <v>9874.5072842177851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81094.032076515621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31.133071002298148</v>
      </c>
      <c r="D52" s="700">
        <f t="shared" ref="D52:Q52" ca="1" si="6">SUM(D48:D51)</f>
        <v>0</v>
      </c>
      <c r="E52" s="700">
        <f t="shared" si="6"/>
        <v>49.42171073560727</v>
      </c>
      <c r="F52" s="700">
        <f t="shared" si="6"/>
        <v>100.93368419297104</v>
      </c>
      <c r="G52" s="700">
        <f t="shared" si="6"/>
        <v>0</v>
      </c>
      <c r="H52" s="700">
        <f t="shared" si="6"/>
        <v>71575.10556401877</v>
      </c>
      <c r="I52" s="700">
        <f t="shared" si="6"/>
        <v>9874.5072842177851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81631.101314167434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56.877896301021401</v>
      </c>
      <c r="D54" s="671">
        <f ca="1">+landbouw!C12</f>
        <v>0</v>
      </c>
      <c r="E54" s="671">
        <f>+landbouw!D12</f>
        <v>23.334818328417846</v>
      </c>
      <c r="F54" s="671">
        <f>+landbouw!E12</f>
        <v>2.0605485157502734</v>
      </c>
      <c r="G54" s="671">
        <f>+landbouw!F12</f>
        <v>343.50824314278606</v>
      </c>
      <c r="H54" s="671">
        <f>+landbouw!G12</f>
        <v>0</v>
      </c>
      <c r="I54" s="671">
        <f>+landbouw!H12</f>
        <v>0</v>
      </c>
      <c r="J54" s="671">
        <f>+landbouw!I12</f>
        <v>0</v>
      </c>
      <c r="K54" s="671">
        <f>+landbouw!J12</f>
        <v>15.838700499653205</v>
      </c>
      <c r="L54" s="671">
        <f>+landbouw!K12</f>
        <v>0</v>
      </c>
      <c r="M54" s="671">
        <f>+landbouw!L12</f>
        <v>0</v>
      </c>
      <c r="N54" s="671">
        <f>+landbouw!M12</f>
        <v>0</v>
      </c>
      <c r="O54" s="671">
        <f>+landbouw!N12</f>
        <v>0</v>
      </c>
      <c r="P54" s="671">
        <f>+landbouw!O12</f>
        <v>0</v>
      </c>
      <c r="Q54" s="672">
        <f>+landbouw!P12</f>
        <v>0</v>
      </c>
      <c r="R54" s="699">
        <f ca="1">SUM(C54:Q54)</f>
        <v>441.62020678762877</v>
      </c>
    </row>
    <row r="55" spans="1:18" ht="15" thickBot="1">
      <c r="A55" s="793" t="s">
        <v>808</v>
      </c>
      <c r="B55" s="803"/>
      <c r="C55" s="671">
        <f ca="1">C25*'EF ele_warmte'!B12</f>
        <v>246.72926134880785</v>
      </c>
      <c r="D55" s="671"/>
      <c r="E55" s="671">
        <f>E25*EF_CO2_aardgas</f>
        <v>842.52152096318139</v>
      </c>
      <c r="F55" s="671"/>
      <c r="G55" s="671"/>
      <c r="H55" s="671"/>
      <c r="I55" s="671"/>
      <c r="J55" s="671"/>
      <c r="K55" s="671"/>
      <c r="L55" s="671"/>
      <c r="M55" s="671"/>
      <c r="N55" s="671"/>
      <c r="O55" s="671"/>
      <c r="P55" s="671"/>
      <c r="Q55" s="672"/>
      <c r="R55" s="699">
        <f ca="1">SUM(C55:Q55)</f>
        <v>1089.2507823119893</v>
      </c>
    </row>
    <row r="56" spans="1:18" ht="15.75" thickBot="1">
      <c r="A56" s="791" t="s">
        <v>809</v>
      </c>
      <c r="B56" s="804"/>
      <c r="C56" s="700">
        <f ca="1">SUM(C54:C55)</f>
        <v>303.60715764982928</v>
      </c>
      <c r="D56" s="700">
        <f t="shared" ref="D56:Q56" ca="1" si="7">SUM(D54:D55)</f>
        <v>0</v>
      </c>
      <c r="E56" s="700">
        <f t="shared" si="7"/>
        <v>865.85633929159928</v>
      </c>
      <c r="F56" s="700">
        <f t="shared" si="7"/>
        <v>2.0605485157502734</v>
      </c>
      <c r="G56" s="700">
        <f t="shared" si="7"/>
        <v>343.50824314278606</v>
      </c>
      <c r="H56" s="700">
        <f t="shared" si="7"/>
        <v>0</v>
      </c>
      <c r="I56" s="700">
        <f t="shared" si="7"/>
        <v>0</v>
      </c>
      <c r="J56" s="700">
        <f t="shared" si="7"/>
        <v>0</v>
      </c>
      <c r="K56" s="700">
        <f t="shared" si="7"/>
        <v>15.838700499653205</v>
      </c>
      <c r="L56" s="700">
        <f t="shared" si="7"/>
        <v>0</v>
      </c>
      <c r="M56" s="700">
        <f t="shared" si="7"/>
        <v>0</v>
      </c>
      <c r="N56" s="700">
        <f t="shared" si="7"/>
        <v>0</v>
      </c>
      <c r="O56" s="700">
        <f t="shared" si="7"/>
        <v>0</v>
      </c>
      <c r="P56" s="700">
        <f t="shared" si="7"/>
        <v>0</v>
      </c>
      <c r="Q56" s="701">
        <f t="shared" si="7"/>
        <v>0</v>
      </c>
      <c r="R56" s="702">
        <f ca="1">SUM(R54:R55)</f>
        <v>1530.8709890996181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31708.235331050804</v>
      </c>
      <c r="D61" s="708">
        <f t="shared" ref="D61:Q61" ca="1" si="8">D46+D52+D56</f>
        <v>0</v>
      </c>
      <c r="E61" s="708">
        <f t="shared" ca="1" si="8"/>
        <v>74439.317210311521</v>
      </c>
      <c r="F61" s="708">
        <f t="shared" si="8"/>
        <v>1623.4348789102605</v>
      </c>
      <c r="G61" s="708">
        <f t="shared" ca="1" si="8"/>
        <v>14785.600406261079</v>
      </c>
      <c r="H61" s="708">
        <f t="shared" si="8"/>
        <v>71575.10556401877</v>
      </c>
      <c r="I61" s="708">
        <f t="shared" si="8"/>
        <v>9874.5072842177851</v>
      </c>
      <c r="J61" s="708">
        <f t="shared" si="8"/>
        <v>0</v>
      </c>
      <c r="K61" s="708">
        <f t="shared" si="8"/>
        <v>154.6973024509519</v>
      </c>
      <c r="L61" s="708">
        <f t="shared" si="8"/>
        <v>0</v>
      </c>
      <c r="M61" s="708">
        <f t="shared" ca="1" si="8"/>
        <v>0</v>
      </c>
      <c r="N61" s="708">
        <f t="shared" si="8"/>
        <v>0</v>
      </c>
      <c r="O61" s="708">
        <f t="shared" ca="1" si="8"/>
        <v>0</v>
      </c>
      <c r="P61" s="708">
        <f t="shared" si="8"/>
        <v>0</v>
      </c>
      <c r="Q61" s="708">
        <f t="shared" si="8"/>
        <v>0</v>
      </c>
      <c r="R61" s="708">
        <f ca="1">R46+R52+R56</f>
        <v>204160.89797722118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0.18417524470629726</v>
      </c>
      <c r="D63" s="749">
        <f t="shared" ca="1" si="9"/>
        <v>0</v>
      </c>
      <c r="E63" s="984">
        <f t="shared" ca="1" si="9"/>
        <v>0.20200000000000001</v>
      </c>
      <c r="F63" s="749">
        <f t="shared" si="9"/>
        <v>0.22699999999999998</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12918.360939409742</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15768.855698164582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28687.216637574325</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35439.321695309685</v>
      </c>
      <c r="C4" s="445">
        <f>huishoudens!C8</f>
        <v>0</v>
      </c>
      <c r="D4" s="445">
        <f>huishoudens!D8</f>
        <v>120131.59673820621</v>
      </c>
      <c r="E4" s="445">
        <f>huishoudens!E8</f>
        <v>1093.4788358750295</v>
      </c>
      <c r="F4" s="445">
        <f>huishoudens!F8</f>
        <v>27703.85216138461</v>
      </c>
      <c r="G4" s="445">
        <f>huishoudens!G8</f>
        <v>0</v>
      </c>
      <c r="H4" s="445">
        <f>huishoudens!H8</f>
        <v>0</v>
      </c>
      <c r="I4" s="445">
        <f>huishoudens!I8</f>
        <v>0</v>
      </c>
      <c r="J4" s="445">
        <f>huishoudens!J8</f>
        <v>133.30782847209272</v>
      </c>
      <c r="K4" s="445">
        <f>huishoudens!K8</f>
        <v>0</v>
      </c>
      <c r="L4" s="445">
        <f>huishoudens!L8</f>
        <v>0</v>
      </c>
      <c r="M4" s="445">
        <f>huishoudens!M8</f>
        <v>0</v>
      </c>
      <c r="N4" s="445">
        <f>huishoudens!N8</f>
        <v>14175.729377222695</v>
      </c>
      <c r="O4" s="445">
        <f>huishoudens!O8</f>
        <v>187.6</v>
      </c>
      <c r="P4" s="446">
        <f>huishoudens!P8</f>
        <v>1620.6666666666665</v>
      </c>
      <c r="Q4" s="447">
        <f>SUM(B4:P4)</f>
        <v>200485.55330313696</v>
      </c>
    </row>
    <row r="5" spans="1:17">
      <c r="A5" s="444" t="s">
        <v>155</v>
      </c>
      <c r="B5" s="445">
        <f ca="1">tertiair!B16</f>
        <v>55498.108367886096</v>
      </c>
      <c r="C5" s="445">
        <f ca="1">tertiair!C16</f>
        <v>0</v>
      </c>
      <c r="D5" s="445">
        <f ca="1">tertiair!D16</f>
        <v>48486.601575735811</v>
      </c>
      <c r="E5" s="445">
        <f>tertiair!E16</f>
        <v>834.43197852996263</v>
      </c>
      <c r="F5" s="445">
        <f ca="1">tertiair!F16</f>
        <v>9739.9488430265392</v>
      </c>
      <c r="G5" s="445">
        <f>tertiair!G16</f>
        <v>0</v>
      </c>
      <c r="H5" s="445">
        <f>tertiair!H16</f>
        <v>0</v>
      </c>
      <c r="I5" s="445">
        <f>tertiair!I16</f>
        <v>0</v>
      </c>
      <c r="J5" s="445">
        <f>tertiair!J16</f>
        <v>0.10828629777548557</v>
      </c>
      <c r="K5" s="445">
        <f>tertiair!K16</f>
        <v>0</v>
      </c>
      <c r="L5" s="445">
        <f ca="1">tertiair!L16</f>
        <v>0</v>
      </c>
      <c r="M5" s="445">
        <f>tertiair!M16</f>
        <v>0</v>
      </c>
      <c r="N5" s="445">
        <f ca="1">tertiair!N16</f>
        <v>4322.2646645094455</v>
      </c>
      <c r="O5" s="445">
        <f>tertiair!O16</f>
        <v>1.5633333333333335</v>
      </c>
      <c r="P5" s="446">
        <f>tertiair!P16</f>
        <v>57.2</v>
      </c>
      <c r="Q5" s="444">
        <f t="shared" ref="Q5:Q14" ca="1" si="0">SUM(B5:P5)</f>
        <v>118940.22704931897</v>
      </c>
    </row>
    <row r="6" spans="1:17">
      <c r="A6" s="444" t="s">
        <v>193</v>
      </c>
      <c r="B6" s="445">
        <f>'openbare verlichting'!B8</f>
        <v>1584.825</v>
      </c>
      <c r="C6" s="445"/>
      <c r="D6" s="445"/>
      <c r="E6" s="445"/>
      <c r="F6" s="445"/>
      <c r="G6" s="445"/>
      <c r="H6" s="445"/>
      <c r="I6" s="445"/>
      <c r="J6" s="445"/>
      <c r="K6" s="445"/>
      <c r="L6" s="445"/>
      <c r="M6" s="445"/>
      <c r="N6" s="445"/>
      <c r="O6" s="445"/>
      <c r="P6" s="446"/>
      <c r="Q6" s="444">
        <f t="shared" si="0"/>
        <v>1584.825</v>
      </c>
    </row>
    <row r="7" spans="1:17">
      <c r="A7" s="444" t="s">
        <v>111</v>
      </c>
      <c r="B7" s="445">
        <f>landbouw!B8</f>
        <v>308.8248716146631</v>
      </c>
      <c r="C7" s="445">
        <f>landbouw!C8</f>
        <v>0</v>
      </c>
      <c r="D7" s="445">
        <f>landbouw!D8</f>
        <v>115.51890261592992</v>
      </c>
      <c r="E7" s="445">
        <f>landbouw!E8</f>
        <v>9.0773062367853452</v>
      </c>
      <c r="F7" s="445">
        <f>landbouw!F8</f>
        <v>1286.5477271265395</v>
      </c>
      <c r="G7" s="445">
        <f>landbouw!G8</f>
        <v>0</v>
      </c>
      <c r="H7" s="445">
        <f>landbouw!H8</f>
        <v>0</v>
      </c>
      <c r="I7" s="445">
        <f>landbouw!I8</f>
        <v>0</v>
      </c>
      <c r="J7" s="445">
        <f>landbouw!J8</f>
        <v>44.742091806929963</v>
      </c>
      <c r="K7" s="445">
        <f>landbouw!K8</f>
        <v>0</v>
      </c>
      <c r="L7" s="445">
        <f>landbouw!L8</f>
        <v>0</v>
      </c>
      <c r="M7" s="445">
        <f>landbouw!M8</f>
        <v>0</v>
      </c>
      <c r="N7" s="445">
        <f>landbouw!N8</f>
        <v>0</v>
      </c>
      <c r="O7" s="445">
        <f>landbouw!O8</f>
        <v>0</v>
      </c>
      <c r="P7" s="446">
        <f>landbouw!P8</f>
        <v>0</v>
      </c>
      <c r="Q7" s="444">
        <f t="shared" si="0"/>
        <v>1764.7108994008477</v>
      </c>
    </row>
    <row r="8" spans="1:17">
      <c r="A8" s="444" t="s">
        <v>627</v>
      </c>
      <c r="B8" s="445">
        <f>industrie!B18</f>
        <v>77823.630196409722</v>
      </c>
      <c r="C8" s="445">
        <f>industrie!C18</f>
        <v>0</v>
      </c>
      <c r="D8" s="445">
        <f>industrie!D18</f>
        <v>195362.1935686536</v>
      </c>
      <c r="E8" s="445">
        <f>industrie!E18</f>
        <v>4770.0656005797628</v>
      </c>
      <c r="F8" s="445">
        <f>industrie!F18</f>
        <v>16646.431816256612</v>
      </c>
      <c r="G8" s="445">
        <f>industrie!G18</f>
        <v>0</v>
      </c>
      <c r="H8" s="445">
        <f>industrie!H18</f>
        <v>0</v>
      </c>
      <c r="I8" s="445">
        <f>industrie!I18</f>
        <v>0</v>
      </c>
      <c r="J8" s="445">
        <f>industrie!J18</f>
        <v>258.83982294566476</v>
      </c>
      <c r="K8" s="445">
        <f>industrie!K18</f>
        <v>0</v>
      </c>
      <c r="L8" s="445">
        <f>industrie!L18</f>
        <v>0</v>
      </c>
      <c r="M8" s="445">
        <f>industrie!M18</f>
        <v>0</v>
      </c>
      <c r="N8" s="445">
        <f>industrie!N18</f>
        <v>5415.319195300759</v>
      </c>
      <c r="O8" s="445">
        <f>industrie!O18</f>
        <v>0</v>
      </c>
      <c r="P8" s="446">
        <f>industrie!P18</f>
        <v>0</v>
      </c>
      <c r="Q8" s="444">
        <f t="shared" si="0"/>
        <v>300276.48020014609</v>
      </c>
    </row>
    <row r="9" spans="1:17" s="450" customFormat="1">
      <c r="A9" s="448" t="s">
        <v>553</v>
      </c>
      <c r="B9" s="449">
        <f>transport!B14</f>
        <v>147.78402380026375</v>
      </c>
      <c r="C9" s="449">
        <f>transport!C14</f>
        <v>0</v>
      </c>
      <c r="D9" s="449">
        <f>transport!D14</f>
        <v>244.66193433468945</v>
      </c>
      <c r="E9" s="449">
        <f>transport!E14</f>
        <v>444.64178058577551</v>
      </c>
      <c r="F9" s="449">
        <f>transport!F14</f>
        <v>0</v>
      </c>
      <c r="G9" s="449">
        <f>transport!G14</f>
        <v>266074.7237401579</v>
      </c>
      <c r="H9" s="449">
        <f>transport!H14</f>
        <v>39656.655759910784</v>
      </c>
      <c r="I9" s="449">
        <f>transport!I14</f>
        <v>0</v>
      </c>
      <c r="J9" s="449">
        <f>transport!J14</f>
        <v>0</v>
      </c>
      <c r="K9" s="449">
        <f>transport!K14</f>
        <v>0</v>
      </c>
      <c r="L9" s="449">
        <f>transport!L14</f>
        <v>0</v>
      </c>
      <c r="M9" s="449">
        <f>transport!M14</f>
        <v>16713.005572569622</v>
      </c>
      <c r="N9" s="449">
        <f>transport!N14</f>
        <v>0</v>
      </c>
      <c r="O9" s="449">
        <f>transport!O14</f>
        <v>0</v>
      </c>
      <c r="P9" s="449">
        <f>transport!P14</f>
        <v>0</v>
      </c>
      <c r="Q9" s="448">
        <f>SUM(B9:P9)</f>
        <v>323281.47281135898</v>
      </c>
    </row>
    <row r="10" spans="1:17">
      <c r="A10" s="444" t="s">
        <v>543</v>
      </c>
      <c r="B10" s="445">
        <f>transport!B54</f>
        <v>21.256452035377482</v>
      </c>
      <c r="C10" s="445">
        <f>transport!C54</f>
        <v>0</v>
      </c>
      <c r="D10" s="445">
        <f>transport!D54</f>
        <v>0</v>
      </c>
      <c r="E10" s="445">
        <f>transport!E54</f>
        <v>0</v>
      </c>
      <c r="F10" s="445">
        <f>transport!F54</f>
        <v>0</v>
      </c>
      <c r="G10" s="445">
        <f>transport!G54</f>
        <v>1996.8326793880642</v>
      </c>
      <c r="H10" s="445">
        <f>transport!H54</f>
        <v>0</v>
      </c>
      <c r="I10" s="445">
        <f>transport!I54</f>
        <v>0</v>
      </c>
      <c r="J10" s="445">
        <f>transport!J54</f>
        <v>0</v>
      </c>
      <c r="K10" s="445">
        <f>transport!K54</f>
        <v>0</v>
      </c>
      <c r="L10" s="445">
        <f>transport!L54</f>
        <v>0</v>
      </c>
      <c r="M10" s="445">
        <f>transport!M54</f>
        <v>114.99159848383758</v>
      </c>
      <c r="N10" s="445">
        <f>transport!N54</f>
        <v>0</v>
      </c>
      <c r="O10" s="445">
        <f>transport!O54</f>
        <v>0</v>
      </c>
      <c r="P10" s="446">
        <f>transport!P54</f>
        <v>0</v>
      </c>
      <c r="Q10" s="444">
        <f t="shared" si="0"/>
        <v>2133.080729907279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1339.6439990741699</v>
      </c>
      <c r="C14" s="452"/>
      <c r="D14" s="452">
        <f>'SEAP template'!E25</f>
        <v>4170.8986186296106</v>
      </c>
      <c r="E14" s="452"/>
      <c r="F14" s="452"/>
      <c r="G14" s="452"/>
      <c r="H14" s="452"/>
      <c r="I14" s="452"/>
      <c r="J14" s="452"/>
      <c r="K14" s="452"/>
      <c r="L14" s="452"/>
      <c r="M14" s="452"/>
      <c r="N14" s="452"/>
      <c r="O14" s="452"/>
      <c r="P14" s="453"/>
      <c r="Q14" s="444">
        <f t="shared" si="0"/>
        <v>5510.5426177037807</v>
      </c>
    </row>
    <row r="15" spans="1:17" s="454" customFormat="1">
      <c r="A15" s="999" t="s">
        <v>547</v>
      </c>
      <c r="B15" s="947">
        <f ca="1">SUM(B4:B14)</f>
        <v>172163.39460612999</v>
      </c>
      <c r="C15" s="947">
        <f t="shared" ref="C15:Q15" ca="1" si="1">SUM(C4:C14)</f>
        <v>0</v>
      </c>
      <c r="D15" s="947">
        <f t="shared" ca="1" si="1"/>
        <v>368511.47133817582</v>
      </c>
      <c r="E15" s="947">
        <f t="shared" si="1"/>
        <v>7151.6955018073158</v>
      </c>
      <c r="F15" s="947">
        <f t="shared" ca="1" si="1"/>
        <v>55376.780547794304</v>
      </c>
      <c r="G15" s="947">
        <f t="shared" si="1"/>
        <v>268071.55641954596</v>
      </c>
      <c r="H15" s="947">
        <f t="shared" si="1"/>
        <v>39656.655759910784</v>
      </c>
      <c r="I15" s="947">
        <f t="shared" si="1"/>
        <v>0</v>
      </c>
      <c r="J15" s="947">
        <f t="shared" si="1"/>
        <v>436.99802952246296</v>
      </c>
      <c r="K15" s="947">
        <f t="shared" si="1"/>
        <v>0</v>
      </c>
      <c r="L15" s="947">
        <f t="shared" ca="1" si="1"/>
        <v>0</v>
      </c>
      <c r="M15" s="947">
        <f t="shared" si="1"/>
        <v>16827.997171053459</v>
      </c>
      <c r="N15" s="947">
        <f t="shared" ca="1" si="1"/>
        <v>23913.3132370329</v>
      </c>
      <c r="O15" s="947">
        <f t="shared" si="1"/>
        <v>189.16333333333333</v>
      </c>
      <c r="P15" s="947">
        <f t="shared" si="1"/>
        <v>1677.8666666666666</v>
      </c>
      <c r="Q15" s="947">
        <f t="shared" ca="1" si="1"/>
        <v>953976.89261097286</v>
      </c>
    </row>
    <row r="17" spans="1:17">
      <c r="A17" s="455" t="s">
        <v>548</v>
      </c>
      <c r="B17" s="754">
        <f ca="1">huishoudens!B10</f>
        <v>0.18417524470629723</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6527.0457454588495</v>
      </c>
      <c r="C22" s="445">
        <f t="shared" ref="C22:C32" ca="1" si="3">C4*$C$17</f>
        <v>0</v>
      </c>
      <c r="D22" s="445">
        <f t="shared" ref="D22:D32" si="4">D4*$D$17</f>
        <v>24266.582541117656</v>
      </c>
      <c r="E22" s="445">
        <f t="shared" ref="E22:E32" si="5">E4*$E$17</f>
        <v>248.21969574363172</v>
      </c>
      <c r="F22" s="445">
        <f t="shared" ref="F22:F32" si="6">F4*$F$17</f>
        <v>7396.9285270896908</v>
      </c>
      <c r="G22" s="445">
        <f t="shared" ref="G22:G32" si="7">G4*$G$17</f>
        <v>0</v>
      </c>
      <c r="H22" s="445">
        <f t="shared" ref="H22:H32" si="8">H4*$H$17</f>
        <v>0</v>
      </c>
      <c r="I22" s="445">
        <f t="shared" ref="I22:I32" si="9">I4*$I$17</f>
        <v>0</v>
      </c>
      <c r="J22" s="445">
        <f t="shared" ref="J22:J32" si="10">J4*$J$17</f>
        <v>47.190971279120824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38485.967480688952</v>
      </c>
    </row>
    <row r="23" spans="1:17">
      <c r="A23" s="444" t="s">
        <v>155</v>
      </c>
      <c r="B23" s="445">
        <f t="shared" ca="1" si="2"/>
        <v>10221.377689392024</v>
      </c>
      <c r="C23" s="445">
        <f t="shared" ca="1" si="3"/>
        <v>0</v>
      </c>
      <c r="D23" s="445">
        <f t="shared" ca="1" si="4"/>
        <v>9794.2935182986348</v>
      </c>
      <c r="E23" s="445">
        <f t="shared" si="5"/>
        <v>189.41605912630152</v>
      </c>
      <c r="F23" s="445">
        <f t="shared" ca="1" si="6"/>
        <v>2600.5663410880861</v>
      </c>
      <c r="G23" s="445">
        <f t="shared" si="7"/>
        <v>0</v>
      </c>
      <c r="H23" s="445">
        <f t="shared" si="8"/>
        <v>0</v>
      </c>
      <c r="I23" s="445">
        <f t="shared" si="9"/>
        <v>0</v>
      </c>
      <c r="J23" s="445">
        <f t="shared" si="10"/>
        <v>3.8333349412521887E-2</v>
      </c>
      <c r="K23" s="445">
        <f t="shared" si="11"/>
        <v>0</v>
      </c>
      <c r="L23" s="445">
        <f t="shared" ca="1" si="12"/>
        <v>0</v>
      </c>
      <c r="M23" s="445">
        <f t="shared" si="13"/>
        <v>0</v>
      </c>
      <c r="N23" s="445">
        <f t="shared" ca="1" si="14"/>
        <v>0</v>
      </c>
      <c r="O23" s="445">
        <f t="shared" si="15"/>
        <v>0</v>
      </c>
      <c r="P23" s="446">
        <f t="shared" si="16"/>
        <v>0</v>
      </c>
      <c r="Q23" s="444">
        <f t="shared" ref="Q23:Q32" ca="1" si="17">SUM(B23:P23)</f>
        <v>22805.691941254463</v>
      </c>
    </row>
    <row r="24" spans="1:17">
      <c r="A24" s="444" t="s">
        <v>193</v>
      </c>
      <c r="B24" s="445">
        <f t="shared" ca="1" si="2"/>
        <v>291.88553219165749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291.88553219165749</v>
      </c>
    </row>
    <row r="25" spans="1:17">
      <c r="A25" s="444" t="s">
        <v>111</v>
      </c>
      <c r="B25" s="445">
        <f t="shared" ca="1" si="2"/>
        <v>56.877896301021401</v>
      </c>
      <c r="C25" s="445">
        <f t="shared" ca="1" si="3"/>
        <v>0</v>
      </c>
      <c r="D25" s="445">
        <f t="shared" si="4"/>
        <v>23.334818328417846</v>
      </c>
      <c r="E25" s="445">
        <f t="shared" si="5"/>
        <v>2.0605485157502734</v>
      </c>
      <c r="F25" s="445">
        <f t="shared" si="6"/>
        <v>343.50824314278606</v>
      </c>
      <c r="G25" s="445">
        <f t="shared" si="7"/>
        <v>0</v>
      </c>
      <c r="H25" s="445">
        <f t="shared" si="8"/>
        <v>0</v>
      </c>
      <c r="I25" s="445">
        <f t="shared" si="9"/>
        <v>0</v>
      </c>
      <c r="J25" s="445">
        <f t="shared" si="10"/>
        <v>15.838700499653205</v>
      </c>
      <c r="K25" s="445">
        <f t="shared" si="11"/>
        <v>0</v>
      </c>
      <c r="L25" s="445">
        <f t="shared" si="12"/>
        <v>0</v>
      </c>
      <c r="M25" s="445">
        <f t="shared" si="13"/>
        <v>0</v>
      </c>
      <c r="N25" s="445">
        <f t="shared" si="14"/>
        <v>0</v>
      </c>
      <c r="O25" s="445">
        <f t="shared" si="15"/>
        <v>0</v>
      </c>
      <c r="P25" s="446">
        <f t="shared" si="16"/>
        <v>0</v>
      </c>
      <c r="Q25" s="444">
        <f t="shared" ca="1" si="17"/>
        <v>441.62020678762877</v>
      </c>
    </row>
    <row r="26" spans="1:17">
      <c r="A26" s="444" t="s">
        <v>627</v>
      </c>
      <c r="B26" s="445">
        <f t="shared" ca="1" si="2"/>
        <v>14333.186135356143</v>
      </c>
      <c r="C26" s="445">
        <f t="shared" ca="1" si="3"/>
        <v>0</v>
      </c>
      <c r="D26" s="445">
        <f t="shared" si="4"/>
        <v>39463.163100868027</v>
      </c>
      <c r="E26" s="445">
        <f t="shared" si="5"/>
        <v>1082.8048913316061</v>
      </c>
      <c r="F26" s="445">
        <f t="shared" si="6"/>
        <v>4444.5972949405159</v>
      </c>
      <c r="G26" s="445">
        <f t="shared" si="7"/>
        <v>0</v>
      </c>
      <c r="H26" s="445">
        <f t="shared" si="8"/>
        <v>0</v>
      </c>
      <c r="I26" s="445">
        <f t="shared" si="9"/>
        <v>0</v>
      </c>
      <c r="J26" s="445">
        <f t="shared" si="10"/>
        <v>91.629297322765325</v>
      </c>
      <c r="K26" s="445">
        <f t="shared" si="11"/>
        <v>0</v>
      </c>
      <c r="L26" s="445">
        <f t="shared" si="12"/>
        <v>0</v>
      </c>
      <c r="M26" s="445">
        <f t="shared" si="13"/>
        <v>0</v>
      </c>
      <c r="N26" s="445">
        <f t="shared" si="14"/>
        <v>0</v>
      </c>
      <c r="O26" s="445">
        <f t="shared" si="15"/>
        <v>0</v>
      </c>
      <c r="P26" s="446">
        <f t="shared" si="16"/>
        <v>0</v>
      </c>
      <c r="Q26" s="444">
        <f t="shared" ca="1" si="17"/>
        <v>59415.380719819063</v>
      </c>
    </row>
    <row r="27" spans="1:17" s="450" customFormat="1">
      <c r="A27" s="448" t="s">
        <v>553</v>
      </c>
      <c r="B27" s="748">
        <f t="shared" ca="1" si="2"/>
        <v>27.218158747094829</v>
      </c>
      <c r="C27" s="449">
        <f t="shared" ca="1" si="3"/>
        <v>0</v>
      </c>
      <c r="D27" s="449">
        <f t="shared" si="4"/>
        <v>49.42171073560727</v>
      </c>
      <c r="E27" s="449">
        <f t="shared" si="5"/>
        <v>100.93368419297104</v>
      </c>
      <c r="F27" s="449">
        <f t="shared" si="6"/>
        <v>0</v>
      </c>
      <c r="G27" s="449">
        <f t="shared" si="7"/>
        <v>71041.951238622161</v>
      </c>
      <c r="H27" s="449">
        <f t="shared" si="8"/>
        <v>9874.5072842177851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81094.032076515621</v>
      </c>
    </row>
    <row r="28" spans="1:17">
      <c r="A28" s="444" t="s">
        <v>543</v>
      </c>
      <c r="B28" s="445">
        <f t="shared" ca="1" si="2"/>
        <v>3.9149122552033178</v>
      </c>
      <c r="C28" s="445">
        <f t="shared" ca="1" si="3"/>
        <v>0</v>
      </c>
      <c r="D28" s="445">
        <f t="shared" si="4"/>
        <v>0</v>
      </c>
      <c r="E28" s="445">
        <f t="shared" si="5"/>
        <v>0</v>
      </c>
      <c r="F28" s="445">
        <f t="shared" si="6"/>
        <v>0</v>
      </c>
      <c r="G28" s="445">
        <f t="shared" si="7"/>
        <v>533.15432539661322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537.06923765181648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246.72926134880785</v>
      </c>
      <c r="C32" s="445">
        <f t="shared" ca="1" si="3"/>
        <v>0</v>
      </c>
      <c r="D32" s="445">
        <f t="shared" si="4"/>
        <v>842.52152096318139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1089.2507823119893</v>
      </c>
    </row>
    <row r="33" spans="1:17" s="454" customFormat="1">
      <c r="A33" s="999" t="s">
        <v>547</v>
      </c>
      <c r="B33" s="947">
        <f ca="1">SUM(B22:B32)</f>
        <v>31708.235331050801</v>
      </c>
      <c r="C33" s="947">
        <f t="shared" ref="C33:Q33" ca="1" si="18">SUM(C22:C32)</f>
        <v>0</v>
      </c>
      <c r="D33" s="947">
        <f t="shared" ca="1" si="18"/>
        <v>74439.317210311536</v>
      </c>
      <c r="E33" s="947">
        <f t="shared" si="18"/>
        <v>1623.4348789102605</v>
      </c>
      <c r="F33" s="947">
        <f t="shared" ca="1" si="18"/>
        <v>14785.600406261077</v>
      </c>
      <c r="G33" s="947">
        <f t="shared" si="18"/>
        <v>71575.10556401877</v>
      </c>
      <c r="H33" s="947">
        <f t="shared" si="18"/>
        <v>9874.5072842177851</v>
      </c>
      <c r="I33" s="947">
        <f t="shared" si="18"/>
        <v>0</v>
      </c>
      <c r="J33" s="947">
        <f t="shared" si="18"/>
        <v>154.6973024509519</v>
      </c>
      <c r="K33" s="947">
        <f t="shared" si="18"/>
        <v>0</v>
      </c>
      <c r="L33" s="947">
        <f t="shared" ca="1" si="18"/>
        <v>0</v>
      </c>
      <c r="M33" s="947">
        <f t="shared" si="18"/>
        <v>0</v>
      </c>
      <c r="N33" s="947">
        <f t="shared" ca="1" si="18"/>
        <v>0</v>
      </c>
      <c r="O33" s="947">
        <f t="shared" si="18"/>
        <v>0</v>
      </c>
      <c r="P33" s="947">
        <f t="shared" si="18"/>
        <v>0</v>
      </c>
      <c r="Q33" s="947">
        <f t="shared" ca="1" si="18"/>
        <v>204160.8979772212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12918.360939409742</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15768.855698164582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28687.216637574325</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0.18417524470629723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0.18417524470629723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0.18417524470629723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0.18417524470629723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10399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665.61</v>
      </c>
      <c r="C14" s="324"/>
      <c r="D14" s="324"/>
      <c r="E14" s="324"/>
      <c r="F14" s="324"/>
    </row>
    <row r="15" spans="1:6">
      <c r="A15" s="1291" t="s">
        <v>183</v>
      </c>
      <c r="B15" s="1292">
        <v>7</v>
      </c>
      <c r="C15" s="324"/>
      <c r="D15" s="324"/>
      <c r="E15" s="324"/>
      <c r="F15" s="324"/>
    </row>
    <row r="16" spans="1:6">
      <c r="A16" s="1291" t="s">
        <v>6</v>
      </c>
      <c r="B16" s="1292">
        <v>337</v>
      </c>
      <c r="C16" s="324"/>
      <c r="D16" s="324"/>
      <c r="E16" s="324"/>
      <c r="F16" s="324"/>
    </row>
    <row r="17" spans="1:6">
      <c r="A17" s="1291" t="s">
        <v>7</v>
      </c>
      <c r="B17" s="1292">
        <v>140</v>
      </c>
      <c r="C17" s="324"/>
      <c r="D17" s="324"/>
      <c r="E17" s="324"/>
      <c r="F17" s="324"/>
    </row>
    <row r="18" spans="1:6">
      <c r="A18" s="1291" t="s">
        <v>8</v>
      </c>
      <c r="B18" s="1292">
        <v>321</v>
      </c>
      <c r="C18" s="324"/>
      <c r="D18" s="324"/>
      <c r="E18" s="324"/>
      <c r="F18" s="324"/>
    </row>
    <row r="19" spans="1:6">
      <c r="A19" s="1291" t="s">
        <v>9</v>
      </c>
      <c r="B19" s="1292">
        <v>256</v>
      </c>
      <c r="C19" s="324"/>
      <c r="D19" s="324"/>
      <c r="E19" s="324"/>
      <c r="F19" s="324"/>
    </row>
    <row r="20" spans="1:6">
      <c r="A20" s="1291" t="s">
        <v>10</v>
      </c>
      <c r="B20" s="1292">
        <v>227</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4</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2</v>
      </c>
      <c r="C29" s="330"/>
      <c r="D29" s="330"/>
      <c r="E29" s="330"/>
      <c r="F29" s="330"/>
    </row>
    <row r="30" spans="1:6">
      <c r="A30" s="1286" t="s">
        <v>723</v>
      </c>
      <c r="B30" s="1295">
        <v>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5477</v>
      </c>
    </row>
    <row r="37" spans="1:6">
      <c r="A37" s="1291" t="s">
        <v>24</v>
      </c>
      <c r="B37" s="1291" t="s">
        <v>27</v>
      </c>
      <c r="C37" s="1292">
        <v>0</v>
      </c>
      <c r="D37" s="1292">
        <v>0</v>
      </c>
      <c r="E37" s="1292">
        <v>0</v>
      </c>
      <c r="F37" s="1292">
        <v>0</v>
      </c>
    </row>
    <row r="38" spans="1:6">
      <c r="A38" s="1291" t="s">
        <v>24</v>
      </c>
      <c r="B38" s="1291" t="s">
        <v>28</v>
      </c>
      <c r="C38" s="1292">
        <v>1</v>
      </c>
      <c r="D38" s="1292">
        <v>12878.1699185532</v>
      </c>
      <c r="E38" s="1292">
        <v>2</v>
      </c>
      <c r="F38" s="1292">
        <v>35725.9316906526</v>
      </c>
    </row>
    <row r="39" spans="1:6">
      <c r="A39" s="1291" t="s">
        <v>29</v>
      </c>
      <c r="B39" s="1291" t="s">
        <v>30</v>
      </c>
      <c r="C39" s="1292">
        <v>8878</v>
      </c>
      <c r="D39" s="1292">
        <v>133183588.401559</v>
      </c>
      <c r="E39" s="1292">
        <v>10385</v>
      </c>
      <c r="F39" s="1292">
        <v>32554746.1231816</v>
      </c>
    </row>
    <row r="40" spans="1:6">
      <c r="A40" s="1291" t="s">
        <v>29</v>
      </c>
      <c r="B40" s="1291" t="s">
        <v>28</v>
      </c>
      <c r="C40" s="1292">
        <v>0</v>
      </c>
      <c r="D40" s="1292">
        <v>0</v>
      </c>
      <c r="E40" s="1292">
        <v>0</v>
      </c>
      <c r="F40" s="1292">
        <v>0</v>
      </c>
    </row>
    <row r="41" spans="1:6">
      <c r="A41" s="1291" t="s">
        <v>31</v>
      </c>
      <c r="B41" s="1291" t="s">
        <v>32</v>
      </c>
      <c r="C41" s="1292">
        <v>75</v>
      </c>
      <c r="D41" s="1292">
        <v>2420140.1392129301</v>
      </c>
      <c r="E41" s="1292">
        <v>284</v>
      </c>
      <c r="F41" s="1292">
        <v>2587284.0065838601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9</v>
      </c>
      <c r="D44" s="1292">
        <v>7595009.0180030102</v>
      </c>
      <c r="E44" s="1292">
        <v>19</v>
      </c>
      <c r="F44" s="1292">
        <v>2235406.95650168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6</v>
      </c>
      <c r="D47" s="1292">
        <v>98401.557888823794</v>
      </c>
      <c r="E47" s="1292">
        <v>7</v>
      </c>
      <c r="F47" s="1292">
        <v>168002.92772514999</v>
      </c>
    </row>
    <row r="48" spans="1:6">
      <c r="A48" s="1291" t="s">
        <v>31</v>
      </c>
      <c r="B48" s="1291" t="s">
        <v>28</v>
      </c>
      <c r="C48" s="1292">
        <v>28</v>
      </c>
      <c r="D48" s="1292">
        <v>205671670.86698499</v>
      </c>
      <c r="E48" s="1292">
        <v>45</v>
      </c>
      <c r="F48" s="1292">
        <v>72294752.638460904</v>
      </c>
    </row>
    <row r="49" spans="1:6">
      <c r="A49" s="1291" t="s">
        <v>31</v>
      </c>
      <c r="B49" s="1291" t="s">
        <v>39</v>
      </c>
      <c r="C49" s="1292">
        <v>0</v>
      </c>
      <c r="D49" s="1292">
        <v>0</v>
      </c>
      <c r="E49" s="1292">
        <v>0</v>
      </c>
      <c r="F49" s="1292">
        <v>0</v>
      </c>
    </row>
    <row r="50" spans="1:6">
      <c r="A50" s="1291" t="s">
        <v>31</v>
      </c>
      <c r="B50" s="1291" t="s">
        <v>40</v>
      </c>
      <c r="C50" s="1292">
        <v>10</v>
      </c>
      <c r="D50" s="1292">
        <v>802576.16586321697</v>
      </c>
      <c r="E50" s="1292">
        <v>15</v>
      </c>
      <c r="F50" s="1292">
        <v>538183.667138119</v>
      </c>
    </row>
    <row r="51" spans="1:6">
      <c r="A51" s="1291" t="s">
        <v>41</v>
      </c>
      <c r="B51" s="1291" t="s">
        <v>42</v>
      </c>
      <c r="C51" s="1292">
        <v>0</v>
      </c>
      <c r="D51" s="1292">
        <v>0</v>
      </c>
      <c r="E51" s="1292">
        <v>22</v>
      </c>
      <c r="F51" s="1292">
        <v>236116.255945168</v>
      </c>
    </row>
    <row r="52" spans="1:6">
      <c r="A52" s="1291" t="s">
        <v>41</v>
      </c>
      <c r="B52" s="1291" t="s">
        <v>28</v>
      </c>
      <c r="C52" s="1292">
        <v>5</v>
      </c>
      <c r="D52" s="1292">
        <v>128069.73682475599</v>
      </c>
      <c r="E52" s="1292">
        <v>7</v>
      </c>
      <c r="F52" s="1292">
        <v>72708.615669495106</v>
      </c>
    </row>
    <row r="53" spans="1:6">
      <c r="A53" s="1291" t="s">
        <v>43</v>
      </c>
      <c r="B53" s="1291" t="s">
        <v>44</v>
      </c>
      <c r="C53" s="1292">
        <v>205</v>
      </c>
      <c r="D53" s="1292">
        <v>4170898.6186296102</v>
      </c>
      <c r="E53" s="1292">
        <v>375</v>
      </c>
      <c r="F53" s="1292">
        <v>1339643.9990741699</v>
      </c>
    </row>
    <row r="54" spans="1:6">
      <c r="A54" s="1291" t="s">
        <v>45</v>
      </c>
      <c r="B54" s="1291" t="s">
        <v>46</v>
      </c>
      <c r="C54" s="1292">
        <v>0</v>
      </c>
      <c r="D54" s="1292">
        <v>0</v>
      </c>
      <c r="E54" s="1292">
        <v>1</v>
      </c>
      <c r="F54" s="1292">
        <v>1584825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59</v>
      </c>
      <c r="D57" s="1292">
        <v>1740566.93350789</v>
      </c>
      <c r="E57" s="1292">
        <v>125</v>
      </c>
      <c r="F57" s="1292">
        <v>3956872.5199411698</v>
      </c>
    </row>
    <row r="58" spans="1:6">
      <c r="A58" s="1291" t="s">
        <v>48</v>
      </c>
      <c r="B58" s="1291" t="s">
        <v>50</v>
      </c>
      <c r="C58" s="1292">
        <v>56</v>
      </c>
      <c r="D58" s="1292">
        <v>4198809.3262445303</v>
      </c>
      <c r="E58" s="1292">
        <v>58</v>
      </c>
      <c r="F58" s="1292">
        <v>1301621.73679537</v>
      </c>
    </row>
    <row r="59" spans="1:6">
      <c r="A59" s="1291" t="s">
        <v>48</v>
      </c>
      <c r="B59" s="1291" t="s">
        <v>51</v>
      </c>
      <c r="C59" s="1292">
        <v>139</v>
      </c>
      <c r="D59" s="1292">
        <v>11788933.424381999</v>
      </c>
      <c r="E59" s="1292">
        <v>263</v>
      </c>
      <c r="F59" s="1292">
        <v>18753494.188976198</v>
      </c>
    </row>
    <row r="60" spans="1:6">
      <c r="A60" s="1291" t="s">
        <v>48</v>
      </c>
      <c r="B60" s="1291" t="s">
        <v>52</v>
      </c>
      <c r="C60" s="1292">
        <v>67</v>
      </c>
      <c r="D60" s="1292">
        <v>2396496.9438732401</v>
      </c>
      <c r="E60" s="1292">
        <v>83</v>
      </c>
      <c r="F60" s="1292">
        <v>2088257.72190116</v>
      </c>
    </row>
    <row r="61" spans="1:6">
      <c r="A61" s="1291" t="s">
        <v>48</v>
      </c>
      <c r="B61" s="1291" t="s">
        <v>53</v>
      </c>
      <c r="C61" s="1292">
        <v>295</v>
      </c>
      <c r="D61" s="1292">
        <v>18500013.513038501</v>
      </c>
      <c r="E61" s="1292">
        <v>464</v>
      </c>
      <c r="F61" s="1292">
        <v>19846188.029382698</v>
      </c>
    </row>
    <row r="62" spans="1:6">
      <c r="A62" s="1291" t="s">
        <v>48</v>
      </c>
      <c r="B62" s="1291" t="s">
        <v>54</v>
      </c>
      <c r="C62" s="1292">
        <v>10</v>
      </c>
      <c r="D62" s="1292">
        <v>2331933.1241999799</v>
      </c>
      <c r="E62" s="1292">
        <v>12</v>
      </c>
      <c r="F62" s="1292">
        <v>302088.19020770502</v>
      </c>
    </row>
    <row r="63" spans="1:6">
      <c r="A63" s="1291" t="s">
        <v>48</v>
      </c>
      <c r="B63" s="1291" t="s">
        <v>28</v>
      </c>
      <c r="C63" s="1292">
        <v>97</v>
      </c>
      <c r="D63" s="1292">
        <v>12797793.9362348</v>
      </c>
      <c r="E63" s="1292">
        <v>96</v>
      </c>
      <c r="F63" s="1292">
        <v>9249585.9806817994</v>
      </c>
    </row>
    <row r="64" spans="1:6">
      <c r="A64" s="1291" t="s">
        <v>55</v>
      </c>
      <c r="B64" s="1291" t="s">
        <v>56</v>
      </c>
      <c r="C64" s="1292">
        <v>0</v>
      </c>
      <c r="D64" s="1292">
        <v>0</v>
      </c>
      <c r="E64" s="1292">
        <v>0</v>
      </c>
      <c r="F64" s="1292">
        <v>0</v>
      </c>
    </row>
    <row r="65" spans="1:6">
      <c r="A65" s="1291" t="s">
        <v>55</v>
      </c>
      <c r="B65" s="1291" t="s">
        <v>28</v>
      </c>
      <c r="C65" s="1292">
        <v>1</v>
      </c>
      <c r="D65" s="1292">
        <v>23078.496131856198</v>
      </c>
      <c r="E65" s="1292">
        <v>3</v>
      </c>
      <c r="F65" s="1292">
        <v>36817.698574300797</v>
      </c>
    </row>
    <row r="66" spans="1:6">
      <c r="A66" s="1291" t="s">
        <v>55</v>
      </c>
      <c r="B66" s="1291" t="s">
        <v>57</v>
      </c>
      <c r="C66" s="1292">
        <v>0</v>
      </c>
      <c r="D66" s="1292">
        <v>0</v>
      </c>
      <c r="E66" s="1292">
        <v>8</v>
      </c>
      <c r="F66" s="1292">
        <v>145389</v>
      </c>
    </row>
    <row r="67" spans="1:6">
      <c r="A67" s="1293" t="s">
        <v>55</v>
      </c>
      <c r="B67" s="1293" t="s">
        <v>58</v>
      </c>
      <c r="C67" s="1292">
        <v>0</v>
      </c>
      <c r="D67" s="1292">
        <v>0</v>
      </c>
      <c r="E67" s="1292">
        <v>0</v>
      </c>
      <c r="F67" s="1292">
        <v>0</v>
      </c>
    </row>
    <row r="68" spans="1:6">
      <c r="A68" s="1286" t="s">
        <v>55</v>
      </c>
      <c r="B68" s="1286" t="s">
        <v>59</v>
      </c>
      <c r="C68" s="1295">
        <v>9</v>
      </c>
      <c r="D68" s="1295">
        <v>295670.06880357797</v>
      </c>
      <c r="E68" s="1295">
        <v>11</v>
      </c>
      <c r="F68" s="1295">
        <v>2052643.9301175999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153771060</v>
      </c>
      <c r="E73" s="443"/>
      <c r="F73" s="324"/>
    </row>
    <row r="74" spans="1:6">
      <c r="A74" s="1291" t="s">
        <v>63</v>
      </c>
      <c r="B74" s="1291" t="s">
        <v>648</v>
      </c>
      <c r="C74" s="1305" t="s">
        <v>650</v>
      </c>
      <c r="D74" s="1306">
        <v>35056945.5</v>
      </c>
      <c r="E74" s="443"/>
      <c r="F74" s="324"/>
    </row>
    <row r="75" spans="1:6">
      <c r="A75" s="1291" t="s">
        <v>64</v>
      </c>
      <c r="B75" s="1291" t="s">
        <v>647</v>
      </c>
      <c r="C75" s="1305" t="s">
        <v>651</v>
      </c>
      <c r="D75" s="1306">
        <v>49148314</v>
      </c>
      <c r="E75" s="443"/>
      <c r="F75" s="324"/>
    </row>
    <row r="76" spans="1:6">
      <c r="A76" s="1291" t="s">
        <v>64</v>
      </c>
      <c r="B76" s="1291" t="s">
        <v>648</v>
      </c>
      <c r="C76" s="1305" t="s">
        <v>652</v>
      </c>
      <c r="D76" s="1306">
        <v>7490266.5</v>
      </c>
      <c r="E76" s="443"/>
      <c r="F76" s="324"/>
    </row>
    <row r="77" spans="1:6">
      <c r="A77" s="1291" t="s">
        <v>65</v>
      </c>
      <c r="B77" s="1291" t="s">
        <v>647</v>
      </c>
      <c r="C77" s="1305" t="s">
        <v>653</v>
      </c>
      <c r="D77" s="1306">
        <v>61473739</v>
      </c>
      <c r="E77" s="443"/>
      <c r="F77" s="324"/>
    </row>
    <row r="78" spans="1:6">
      <c r="A78" s="1286" t="s">
        <v>65</v>
      </c>
      <c r="B78" s="1286" t="s">
        <v>648</v>
      </c>
      <c r="C78" s="1286" t="s">
        <v>654</v>
      </c>
      <c r="D78" s="1307">
        <v>9130544</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580169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12918.360939409742</v>
      </c>
      <c r="C90" s="324"/>
      <c r="D90" s="324"/>
      <c r="E90" s="324"/>
      <c r="F90" s="324"/>
    </row>
    <row r="91" spans="1:6">
      <c r="A91" s="1291" t="s">
        <v>67</v>
      </c>
      <c r="B91" s="1292">
        <v>2884.5755721280866</v>
      </c>
      <c r="C91" s="324"/>
      <c r="D91" s="324"/>
      <c r="E91" s="324"/>
      <c r="F91" s="324"/>
    </row>
    <row r="92" spans="1:6">
      <c r="A92" s="1286" t="s">
        <v>68</v>
      </c>
      <c r="B92" s="1287">
        <v>12884.280126036496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6495</v>
      </c>
      <c r="C97" s="324"/>
      <c r="D97" s="324"/>
      <c r="E97" s="324"/>
      <c r="F97" s="324"/>
    </row>
    <row r="98" spans="1:6">
      <c r="A98" s="1291" t="s">
        <v>71</v>
      </c>
      <c r="B98" s="1292">
        <v>10</v>
      </c>
      <c r="C98" s="324"/>
      <c r="D98" s="324"/>
      <c r="E98" s="324"/>
      <c r="F98" s="324"/>
    </row>
    <row r="99" spans="1:6">
      <c r="A99" s="1291" t="s">
        <v>72</v>
      </c>
      <c r="B99" s="1292">
        <v>27</v>
      </c>
      <c r="C99" s="324"/>
      <c r="D99" s="324"/>
      <c r="E99" s="324"/>
      <c r="F99" s="324"/>
    </row>
    <row r="100" spans="1:6">
      <c r="A100" s="1291" t="s">
        <v>73</v>
      </c>
      <c r="B100" s="1292">
        <v>410</v>
      </c>
      <c r="C100" s="324"/>
      <c r="D100" s="324"/>
      <c r="E100" s="324"/>
      <c r="F100" s="324"/>
    </row>
    <row r="101" spans="1:6">
      <c r="A101" s="1291" t="s">
        <v>74</v>
      </c>
      <c r="B101" s="1292">
        <v>70</v>
      </c>
      <c r="C101" s="324"/>
      <c r="D101" s="324"/>
      <c r="E101" s="324"/>
      <c r="F101" s="324"/>
    </row>
    <row r="102" spans="1:6">
      <c r="A102" s="1291" t="s">
        <v>75</v>
      </c>
      <c r="B102" s="1292">
        <v>123</v>
      </c>
      <c r="C102" s="324"/>
      <c r="D102" s="324"/>
      <c r="E102" s="324"/>
      <c r="F102" s="324"/>
    </row>
    <row r="103" spans="1:6">
      <c r="A103" s="1291" t="s">
        <v>76</v>
      </c>
      <c r="B103" s="1292">
        <v>180</v>
      </c>
      <c r="C103" s="324"/>
      <c r="D103" s="324"/>
      <c r="E103" s="324"/>
      <c r="F103" s="324"/>
    </row>
    <row r="104" spans="1:6">
      <c r="A104" s="1291" t="s">
        <v>77</v>
      </c>
      <c r="B104" s="1292">
        <v>1800</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1</v>
      </c>
      <c r="C122" s="1292">
        <v>0</v>
      </c>
      <c r="D122" s="324"/>
      <c r="E122" s="324"/>
      <c r="F122" s="324"/>
    </row>
    <row r="123" spans="1:6">
      <c r="A123" s="1291" t="s">
        <v>87</v>
      </c>
      <c r="B123" s="1292">
        <v>66</v>
      </c>
      <c r="C123" s="1292">
        <v>19</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101</v>
      </c>
      <c r="C129" s="324"/>
      <c r="D129" s="324"/>
      <c r="E129" s="324"/>
      <c r="F129" s="324"/>
    </row>
    <row r="130" spans="1:6">
      <c r="A130" s="1291" t="s">
        <v>289</v>
      </c>
      <c r="B130" s="1292">
        <v>1</v>
      </c>
      <c r="C130" s="324"/>
      <c r="D130" s="324"/>
      <c r="E130" s="324"/>
      <c r="F130" s="324"/>
    </row>
    <row r="131" spans="1:6">
      <c r="A131" s="1291" t="s">
        <v>290</v>
      </c>
      <c r="B131" s="1292">
        <v>1</v>
      </c>
      <c r="C131" s="324"/>
      <c r="D131" s="324"/>
      <c r="E131" s="324"/>
      <c r="F131" s="324"/>
    </row>
    <row r="132" spans="1:6">
      <c r="A132" s="1286" t="s">
        <v>291</v>
      </c>
      <c r="B132" s="1287">
        <v>18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172163.39460612996</v>
      </c>
      <c r="C3" s="43" t="s">
        <v>169</v>
      </c>
      <c r="D3" s="43"/>
      <c r="E3" s="154"/>
      <c r="F3" s="43"/>
      <c r="G3" s="43"/>
      <c r="H3" s="43"/>
      <c r="I3" s="43"/>
      <c r="J3" s="43"/>
      <c r="K3" s="96"/>
    </row>
    <row r="4" spans="1:11">
      <c r="A4" s="352" t="s">
        <v>170</v>
      </c>
      <c r="B4" s="49">
        <f>IF(ISERROR('SEAP template'!B78+'SEAP template'!C78),0,'SEAP template'!B78+'SEAP template'!C78)</f>
        <v>28687.216637574325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0.18417524470629723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1584.825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1584.825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0.18417524470629723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291.88553219165749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32554.746123181601</v>
      </c>
      <c r="C5" s="17">
        <f>IF(ISERROR('Eigen informatie GS &amp; warmtenet'!B57),0,'Eigen informatie GS &amp; warmtenet'!B57)</f>
        <v>0</v>
      </c>
      <c r="D5" s="30">
        <f>(SUM(HH_hh_gas_kWh,HH_rest_gas_kWh)/1000)*0.902</f>
        <v>120131.59673820621</v>
      </c>
      <c r="E5" s="17">
        <f>B32*B41</f>
        <v>1093.4788358750295</v>
      </c>
      <c r="F5" s="17">
        <f>B36*B45</f>
        <v>27703.85216138461</v>
      </c>
      <c r="G5" s="18"/>
      <c r="H5" s="17"/>
      <c r="I5" s="17"/>
      <c r="J5" s="17">
        <f>B35*B44+C35*C44</f>
        <v>133.30782847209272</v>
      </c>
      <c r="K5" s="17"/>
      <c r="L5" s="17"/>
      <c r="M5" s="17"/>
      <c r="N5" s="17">
        <f>B34*B43+C34*C43</f>
        <v>14175.729377222695</v>
      </c>
      <c r="O5" s="17">
        <f>B52*B53*B54</f>
        <v>187.6</v>
      </c>
      <c r="P5" s="17">
        <f>B60*B61*B62/1000-B60*B61*B62/1000/B63</f>
        <v>1620.6666666666665</v>
      </c>
    </row>
    <row r="6" spans="1:16">
      <c r="A6" s="16" t="s">
        <v>613</v>
      </c>
      <c r="B6" s="756">
        <f>kWh_PV_kleiner_dan_10kW</f>
        <v>2884.5755721280866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35439.321695309685</v>
      </c>
      <c r="C8" s="21">
        <f>C5</f>
        <v>0</v>
      </c>
      <c r="D8" s="21">
        <f>D5</f>
        <v>120131.59673820621</v>
      </c>
      <c r="E8" s="21">
        <f>E5</f>
        <v>1093.4788358750295</v>
      </c>
      <c r="F8" s="21">
        <f>F5</f>
        <v>27703.85216138461</v>
      </c>
      <c r="G8" s="21"/>
      <c r="H8" s="21"/>
      <c r="I8" s="21"/>
      <c r="J8" s="21">
        <f>J5</f>
        <v>133.30782847209272</v>
      </c>
      <c r="K8" s="21"/>
      <c r="L8" s="21">
        <f>L5</f>
        <v>0</v>
      </c>
      <c r="M8" s="21">
        <f>M5</f>
        <v>0</v>
      </c>
      <c r="N8" s="21">
        <f>N5</f>
        <v>14175.729377222695</v>
      </c>
      <c r="O8" s="21">
        <f>O5</f>
        <v>187.6</v>
      </c>
      <c r="P8" s="21">
        <f>P5</f>
        <v>1620.6666666666665</v>
      </c>
    </row>
    <row r="9" spans="1:16">
      <c r="B9" s="19"/>
      <c r="C9" s="19"/>
      <c r="D9" s="254"/>
      <c r="E9" s="19"/>
      <c r="F9" s="19"/>
      <c r="G9" s="19"/>
      <c r="H9" s="19"/>
      <c r="I9" s="19"/>
      <c r="J9" s="19"/>
      <c r="K9" s="19"/>
      <c r="L9" s="19"/>
      <c r="M9" s="19"/>
      <c r="N9" s="19"/>
      <c r="O9" s="19"/>
      <c r="P9" s="19"/>
    </row>
    <row r="10" spans="1:16">
      <c r="A10" s="24" t="s">
        <v>213</v>
      </c>
      <c r="B10" s="25">
        <f ca="1">'EF ele_warmte'!B12</f>
        <v>0.18417524470629723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6527.0457454588495</v>
      </c>
      <c r="C12" s="23">
        <f ca="1">C10*C8</f>
        <v>0</v>
      </c>
      <c r="D12" s="23">
        <f>D8*D10</f>
        <v>24266.582541117656</v>
      </c>
      <c r="E12" s="23">
        <f>E10*E8</f>
        <v>248.21969574363172</v>
      </c>
      <c r="F12" s="23">
        <f>F10*F8</f>
        <v>7396.9285270896908</v>
      </c>
      <c r="G12" s="23"/>
      <c r="H12" s="23"/>
      <c r="I12" s="23"/>
      <c r="J12" s="23">
        <f>J10*J8</f>
        <v>47.190971279120824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10399</v>
      </c>
      <c r="C26" s="36"/>
      <c r="D26" s="225"/>
    </row>
    <row r="27" spans="1:5" s="15" customFormat="1">
      <c r="A27" s="227" t="s">
        <v>768</v>
      </c>
      <c r="B27" s="37">
        <f>SUM(HH_hh_gas_aantal,HH_rest_gas_aantal)</f>
        <v>8878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8434.1</v>
      </c>
      <c r="C31" s="34" t="s">
        <v>110</v>
      </c>
      <c r="D31" s="171"/>
    </row>
    <row r="32" spans="1:5">
      <c r="A32" s="168" t="s">
        <v>72</v>
      </c>
      <c r="B32" s="33">
        <f>IF((B21*($B$26-($B$27-0.05*$B$27)-$B$60))&lt;0,0,B21*($B$26-($B$27-0.05*$B$27)-$B$60))</f>
        <v>20.679829233420126</v>
      </c>
      <c r="C32" s="34" t="s">
        <v>110</v>
      </c>
      <c r="D32" s="171"/>
    </row>
    <row r="33" spans="1:6">
      <c r="A33" s="168" t="s">
        <v>73</v>
      </c>
      <c r="B33" s="33">
        <f>IF((B22*($B$26-($B$27-0.05*$B$27)-$B$60))&lt;0,0,B22*($B$26-($B$27-0.05*$B$27)-$B$60))</f>
        <v>429.9510160481808</v>
      </c>
      <c r="C33" s="34" t="s">
        <v>110</v>
      </c>
      <c r="D33" s="171"/>
    </row>
    <row r="34" spans="1:6">
      <c r="A34" s="168" t="s">
        <v>74</v>
      </c>
      <c r="B34" s="33">
        <f>IF((B24*($B$26-($B$27-0.05*$B$27)-$B$60))&lt;0,0,B24*($B$26-($B$27-0.05*$B$27)-$B$60))</f>
        <v>85.501972614241808</v>
      </c>
      <c r="C34" s="33">
        <f>B26*C24</f>
        <v>2128.6290466149972</v>
      </c>
      <c r="D34" s="230"/>
    </row>
    <row r="35" spans="1:6">
      <c r="A35" s="168" t="s">
        <v>76</v>
      </c>
      <c r="B35" s="33">
        <f>IF((B19*($B$26-($B$27-0.05*$B$27)-$B$60))&lt;0,0,B19*($B$26-($B$27-0.05*$B$27)-$B$60))</f>
        <v>15.652400809702511</v>
      </c>
      <c r="C35" s="33">
        <f>B35/2</f>
        <v>7.8262004048512557</v>
      </c>
      <c r="D35" s="230"/>
    </row>
    <row r="36" spans="1:6">
      <c r="A36" s="168" t="s">
        <v>77</v>
      </c>
      <c r="B36" s="33">
        <f>IF((B18*($B$26-($B$27-0.05*$B$27)-$B$60))&lt;0,0,B18*($B$26-($B$27-0.05*$B$27)-$B$60))</f>
        <v>1328.1147812944546</v>
      </c>
      <c r="C36" s="34" t="s">
        <v>110</v>
      </c>
      <c r="D36" s="171"/>
    </row>
    <row r="37" spans="1:6">
      <c r="A37" s="168" t="s">
        <v>78</v>
      </c>
      <c r="B37" s="33">
        <f>B60</f>
        <v>85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120</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85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55498.108367886096</v>
      </c>
      <c r="C5" s="17">
        <f>IF(ISERROR('Eigen informatie GS &amp; warmtenet'!B58),0,'Eigen informatie GS &amp; warmtenet'!B58)</f>
        <v>0</v>
      </c>
      <c r="D5" s="30">
        <f>SUM(D6:D12)</f>
        <v>48486.601575735811</v>
      </c>
      <c r="E5" s="17">
        <f>SUM(E6:E12)</f>
        <v>834.43197852996263</v>
      </c>
      <c r="F5" s="17">
        <f>SUM(F6:F12)</f>
        <v>9739.9488430265392</v>
      </c>
      <c r="G5" s="18"/>
      <c r="H5" s="17"/>
      <c r="I5" s="17"/>
      <c r="J5" s="17">
        <f>SUM(J6:J12)</f>
        <v>0.10828629777548557</v>
      </c>
      <c r="K5" s="17"/>
      <c r="L5" s="17"/>
      <c r="M5" s="17"/>
      <c r="N5" s="17">
        <f>SUM(N6:N12)</f>
        <v>4322.2646645094455</v>
      </c>
      <c r="O5" s="17">
        <f>B38*B39*B40</f>
        <v>1.5633333333333335</v>
      </c>
      <c r="P5" s="17">
        <f>B46*B47*B48/1000-B46*B47*B48/1000/B49</f>
        <v>57.2</v>
      </c>
      <c r="R5" s="32"/>
    </row>
    <row r="6" spans="1:18">
      <c r="A6" s="32" t="s">
        <v>53</v>
      </c>
      <c r="B6" s="37">
        <f>B26</f>
        <v>19846.188029382698</v>
      </c>
      <c r="C6" s="33"/>
      <c r="D6" s="37">
        <f>IF(ISERROR(TER_kantoor_gas_kWh/1000),0,TER_kantoor_gas_kWh/1000)*0.902</f>
        <v>16687.012188760731</v>
      </c>
      <c r="E6" s="33">
        <f>$C$26*'E Balans VL '!I12/100/3.6*1000000</f>
        <v>0.12438930582944206</v>
      </c>
      <c r="F6" s="33">
        <f>$C$26*('E Balans VL '!L12+'E Balans VL '!N12)/100/3.6*1000000</f>
        <v>2982.3275054326455</v>
      </c>
      <c r="G6" s="34"/>
      <c r="H6" s="33"/>
      <c r="I6" s="33"/>
      <c r="J6" s="33">
        <f>$C$26*('E Balans VL '!D12+'E Balans VL '!E12)/100/3.6*1000000</f>
        <v>0</v>
      </c>
      <c r="K6" s="33"/>
      <c r="L6" s="33"/>
      <c r="M6" s="33"/>
      <c r="N6" s="33">
        <f>$C$26*'E Balans VL '!Y12/100/3.6*1000000</f>
        <v>18.979936329804758</v>
      </c>
      <c r="O6" s="33"/>
      <c r="P6" s="33"/>
      <c r="R6" s="32"/>
    </row>
    <row r="7" spans="1:18">
      <c r="A7" s="32" t="s">
        <v>52</v>
      </c>
      <c r="B7" s="37">
        <f t="shared" ref="B7:B12" si="0">B27</f>
        <v>2088.25772190116</v>
      </c>
      <c r="C7" s="33"/>
      <c r="D7" s="37">
        <f>IF(ISERROR(TER_horeca_gas_kWh/1000),0,TER_horeca_gas_kWh/1000)*0.902</f>
        <v>2161.6402433736625</v>
      </c>
      <c r="E7" s="33">
        <f>$C$27*'E Balans VL '!I9/100/3.6*1000000</f>
        <v>29.903502740289635</v>
      </c>
      <c r="F7" s="33">
        <f>$C$27*('E Balans VL '!L9+'E Balans VL '!N9)/100/3.6*1000000</f>
        <v>264.44230098576219</v>
      </c>
      <c r="G7" s="34"/>
      <c r="H7" s="33"/>
      <c r="I7" s="33"/>
      <c r="J7" s="33">
        <f>$C$27*('E Balans VL '!D9+'E Balans VL '!E9)/100/3.6*1000000</f>
        <v>0</v>
      </c>
      <c r="K7" s="33"/>
      <c r="L7" s="33"/>
      <c r="M7" s="33"/>
      <c r="N7" s="33">
        <f>$C$27*'E Balans VL '!Y9/100/3.6*1000000</f>
        <v>0.60032805291605673</v>
      </c>
      <c r="O7" s="33"/>
      <c r="P7" s="33"/>
      <c r="R7" s="32"/>
    </row>
    <row r="8" spans="1:18">
      <c r="A8" s="6" t="s">
        <v>51</v>
      </c>
      <c r="B8" s="37">
        <f t="shared" si="0"/>
        <v>18753.494188976198</v>
      </c>
      <c r="C8" s="33"/>
      <c r="D8" s="37">
        <f>IF(ISERROR(TER_handel_gas_kWh/1000),0,TER_handel_gas_kWh/1000)*0.902</f>
        <v>10633.617948792564</v>
      </c>
      <c r="E8" s="33">
        <f>$C$28*'E Balans VL '!I13/100/3.6*1000000</f>
        <v>680.18692165687048</v>
      </c>
      <c r="F8" s="33">
        <f>$C$28*('E Balans VL '!L13+'E Balans VL '!N13)/100/3.6*1000000</f>
        <v>3612.1128719983844</v>
      </c>
      <c r="G8" s="34"/>
      <c r="H8" s="33"/>
      <c r="I8" s="33"/>
      <c r="J8" s="33">
        <f>$C$28*('E Balans VL '!D13+'E Balans VL '!E13)/100/3.6*1000000</f>
        <v>0</v>
      </c>
      <c r="K8" s="33"/>
      <c r="L8" s="33"/>
      <c r="M8" s="33"/>
      <c r="N8" s="33">
        <f>$C$28*'E Balans VL '!Y13/100/3.6*1000000</f>
        <v>25.977904438302282</v>
      </c>
      <c r="O8" s="33"/>
      <c r="P8" s="33"/>
      <c r="R8" s="32"/>
    </row>
    <row r="9" spans="1:18">
      <c r="A9" s="32" t="s">
        <v>50</v>
      </c>
      <c r="B9" s="37">
        <f t="shared" si="0"/>
        <v>1301.62173679537</v>
      </c>
      <c r="C9" s="33"/>
      <c r="D9" s="37">
        <f>IF(ISERROR(TER_gezond_gas_kWh/1000),0,TER_gezond_gas_kWh/1000)*0.902</f>
        <v>3787.326012272566</v>
      </c>
      <c r="E9" s="33">
        <f>$C$29*'E Balans VL '!I10/100/3.6*1000000</f>
        <v>8.1494371916338779E-2</v>
      </c>
      <c r="F9" s="33">
        <f>$C$29*('E Balans VL '!L10+'E Balans VL '!N10)/100/3.6*1000000</f>
        <v>193.35987206171887</v>
      </c>
      <c r="G9" s="34"/>
      <c r="H9" s="33"/>
      <c r="I9" s="33"/>
      <c r="J9" s="33">
        <f>$C$29*('E Balans VL '!D10+'E Balans VL '!E10)/100/3.6*1000000</f>
        <v>0</v>
      </c>
      <c r="K9" s="33"/>
      <c r="L9" s="33"/>
      <c r="M9" s="33"/>
      <c r="N9" s="33">
        <f>$C$29*'E Balans VL '!Y10/100/3.6*1000000</f>
        <v>20.133610620512442</v>
      </c>
      <c r="O9" s="33"/>
      <c r="P9" s="33"/>
      <c r="R9" s="32"/>
    </row>
    <row r="10" spans="1:18">
      <c r="A10" s="32" t="s">
        <v>49</v>
      </c>
      <c r="B10" s="37">
        <f t="shared" si="0"/>
        <v>3956.8725199411697</v>
      </c>
      <c r="C10" s="33"/>
      <c r="D10" s="37">
        <f>IF(ISERROR(TER_ander_gas_kWh/1000),0,TER_ander_gas_kWh/1000)*0.902</f>
        <v>1569.9913740241168</v>
      </c>
      <c r="E10" s="33">
        <f>$C$30*'E Balans VL '!I14/100/3.6*1000000</f>
        <v>4.7164506490375224</v>
      </c>
      <c r="F10" s="33">
        <f>$C$30*('E Balans VL '!L14+'E Balans VL '!N14)/100/3.6*1000000</f>
        <v>1035.2937599524216</v>
      </c>
      <c r="G10" s="34"/>
      <c r="H10" s="33"/>
      <c r="I10" s="33"/>
      <c r="J10" s="33">
        <f>$C$30*('E Balans VL '!D14+'E Balans VL '!E14)/100/3.6*1000000</f>
        <v>8.5888191895920257E-2</v>
      </c>
      <c r="K10" s="33"/>
      <c r="L10" s="33"/>
      <c r="M10" s="33"/>
      <c r="N10" s="33">
        <f>$C$30*'E Balans VL '!Y14/100/3.6*1000000</f>
        <v>3360.0793206263638</v>
      </c>
      <c r="O10" s="33"/>
      <c r="P10" s="33"/>
      <c r="R10" s="32"/>
    </row>
    <row r="11" spans="1:18">
      <c r="A11" s="32" t="s">
        <v>54</v>
      </c>
      <c r="B11" s="37">
        <f t="shared" si="0"/>
        <v>302.088190207705</v>
      </c>
      <c r="C11" s="33"/>
      <c r="D11" s="37">
        <f>IF(ISERROR(TER_onderwijs_gas_kWh/1000),0,TER_onderwijs_gas_kWh/1000)*0.902</f>
        <v>2103.4036780283818</v>
      </c>
      <c r="E11" s="33">
        <f>$C$31*'E Balans VL '!I11/100/3.6*1000000</f>
        <v>4.5580242309371641</v>
      </c>
      <c r="F11" s="33">
        <f>$C$31*('E Balans VL '!L11+'E Balans VL '!N11)/100/3.6*1000000</f>
        <v>52.930676926800444</v>
      </c>
      <c r="G11" s="34"/>
      <c r="H11" s="33"/>
      <c r="I11" s="33"/>
      <c r="J11" s="33">
        <f>$C$31*('E Balans VL '!D11+'E Balans VL '!E11)/100/3.6*1000000</f>
        <v>0</v>
      </c>
      <c r="K11" s="33"/>
      <c r="L11" s="33"/>
      <c r="M11" s="33"/>
      <c r="N11" s="33">
        <f>$C$31*'E Balans VL '!Y11/100/3.6*1000000</f>
        <v>0.85009913286327521</v>
      </c>
      <c r="O11" s="33"/>
      <c r="P11" s="33"/>
      <c r="R11" s="32"/>
    </row>
    <row r="12" spans="1:18">
      <c r="A12" s="32" t="s">
        <v>254</v>
      </c>
      <c r="B12" s="37">
        <f t="shared" si="0"/>
        <v>9249.5859806817989</v>
      </c>
      <c r="C12" s="33"/>
      <c r="D12" s="37">
        <f>IF(ISERROR(TER_rest_gas_kWh/1000),0,TER_rest_gas_kWh/1000)*0.902</f>
        <v>11543.61013048379</v>
      </c>
      <c r="E12" s="33">
        <f>$C$32*'E Balans VL '!I8/100/3.6*1000000</f>
        <v>114.86119557508204</v>
      </c>
      <c r="F12" s="33">
        <f>$C$32*('E Balans VL '!L8+'E Balans VL '!N8)/100/3.6*1000000</f>
        <v>1599.4818556688053</v>
      </c>
      <c r="G12" s="34"/>
      <c r="H12" s="33"/>
      <c r="I12" s="33"/>
      <c r="J12" s="33">
        <f>$C$32*('E Balans VL '!D8+'E Balans VL '!E8)/100/3.6*1000000</f>
        <v>2.2398105879565307E-2</v>
      </c>
      <c r="K12" s="33"/>
      <c r="L12" s="33"/>
      <c r="M12" s="33"/>
      <c r="N12" s="33">
        <f>$C$32*'E Balans VL '!Y8/100/3.6*1000000</f>
        <v>895.64346530868283</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55498.108367886096</v>
      </c>
      <c r="C16" s="21">
        <f t="shared" ca="1" si="1"/>
        <v>0</v>
      </c>
      <c r="D16" s="21">
        <f t="shared" ca="1" si="1"/>
        <v>48486.601575735811</v>
      </c>
      <c r="E16" s="21">
        <f t="shared" si="1"/>
        <v>834.43197852996263</v>
      </c>
      <c r="F16" s="21">
        <f t="shared" ca="1" si="1"/>
        <v>9739.9488430265392</v>
      </c>
      <c r="G16" s="21">
        <f t="shared" si="1"/>
        <v>0</v>
      </c>
      <c r="H16" s="21">
        <f t="shared" si="1"/>
        <v>0</v>
      </c>
      <c r="I16" s="21">
        <f t="shared" si="1"/>
        <v>0</v>
      </c>
      <c r="J16" s="21">
        <f t="shared" si="1"/>
        <v>0.10828629777548557</v>
      </c>
      <c r="K16" s="21">
        <f t="shared" si="1"/>
        <v>0</v>
      </c>
      <c r="L16" s="21">
        <f t="shared" ca="1" si="1"/>
        <v>0</v>
      </c>
      <c r="M16" s="21">
        <f t="shared" si="1"/>
        <v>0</v>
      </c>
      <c r="N16" s="21">
        <f t="shared" ca="1" si="1"/>
        <v>4322.2646645094455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0.18417524470629723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10221.377689392024</v>
      </c>
      <c r="C20" s="23">
        <f t="shared" ref="C20:P20" ca="1" si="2">C16*C18</f>
        <v>0</v>
      </c>
      <c r="D20" s="23">
        <f t="shared" ca="1" si="2"/>
        <v>9794.2935182986348</v>
      </c>
      <c r="E20" s="23">
        <f t="shared" si="2"/>
        <v>189.41605912630152</v>
      </c>
      <c r="F20" s="23">
        <f t="shared" ca="1" si="2"/>
        <v>2600.5663410880861</v>
      </c>
      <c r="G20" s="23">
        <f t="shared" si="2"/>
        <v>0</v>
      </c>
      <c r="H20" s="23">
        <f t="shared" si="2"/>
        <v>0</v>
      </c>
      <c r="I20" s="23">
        <f t="shared" si="2"/>
        <v>0</v>
      </c>
      <c r="J20" s="23">
        <f t="shared" si="2"/>
        <v>3.8333349412521887E-2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19846.188029382698</v>
      </c>
      <c r="C26" s="39">
        <f>IF(ISERROR(B26*3.6/1000000/'E Balans VL '!Z12*100),0,B26*3.6/1000000/'E Balans VL '!Z12*100)</f>
        <v>0.41951697603983229</v>
      </c>
      <c r="D26" s="233" t="s">
        <v>732</v>
      </c>
      <c r="F26" s="6"/>
    </row>
    <row r="27" spans="1:18">
      <c r="A27" s="228" t="s">
        <v>52</v>
      </c>
      <c r="B27" s="33">
        <f>IF(ISERROR(TER_horeca_ele_kWh/1000),0,TER_horeca_ele_kWh/1000)</f>
        <v>2088.25772190116</v>
      </c>
      <c r="C27" s="39">
        <f>IF(ISERROR(B27*3.6/1000000/'E Balans VL '!Z9*100),0,B27*3.6/1000000/'E Balans VL '!Z9*100)</f>
        <v>0.16461657788408016</v>
      </c>
      <c r="D27" s="233" t="s">
        <v>732</v>
      </c>
      <c r="F27" s="6"/>
    </row>
    <row r="28" spans="1:18">
      <c r="A28" s="168" t="s">
        <v>51</v>
      </c>
      <c r="B28" s="33">
        <f>IF(ISERROR(TER_handel_ele_kWh/1000),0,TER_handel_ele_kWh/1000)</f>
        <v>18753.494188976198</v>
      </c>
      <c r="C28" s="39">
        <f>IF(ISERROR(B28*3.6/1000000/'E Balans VL '!Z13*100),0,B28*3.6/1000000/'E Balans VL '!Z13*100)</f>
        <v>0.54430217397139591</v>
      </c>
      <c r="D28" s="233" t="s">
        <v>732</v>
      </c>
      <c r="F28" s="6"/>
    </row>
    <row r="29" spans="1:18">
      <c r="A29" s="228" t="s">
        <v>50</v>
      </c>
      <c r="B29" s="33">
        <f>IF(ISERROR(TER_gezond_ele_kWh/1000),0,TER_gezond_ele_kWh/1000)</f>
        <v>1301.62173679537</v>
      </c>
      <c r="C29" s="39">
        <f>IF(ISERROR(B29*3.6/1000000/'E Balans VL '!Z10*100),0,B29*3.6/1000000/'E Balans VL '!Z10*100)</f>
        <v>0.13708214207764036</v>
      </c>
      <c r="D29" s="233" t="s">
        <v>732</v>
      </c>
      <c r="F29" s="6"/>
    </row>
    <row r="30" spans="1:18">
      <c r="A30" s="228" t="s">
        <v>49</v>
      </c>
      <c r="B30" s="33">
        <f>IF(ISERROR(TER_ander_ele_kWh/1000),0,TER_ander_ele_kWh/1000)</f>
        <v>3956.8725199411697</v>
      </c>
      <c r="C30" s="39">
        <f>IF(ISERROR(B30*3.6/1000000/'E Balans VL '!Z14*100),0,B30*3.6/1000000/'E Balans VL '!Z14*100)</f>
        <v>0.2918597764992969</v>
      </c>
      <c r="D30" s="233" t="s">
        <v>732</v>
      </c>
      <c r="F30" s="6"/>
    </row>
    <row r="31" spans="1:18">
      <c r="A31" s="228" t="s">
        <v>54</v>
      </c>
      <c r="B31" s="33">
        <f>IF(ISERROR(TER_onderwijs_ele_kWh/1000),0,TER_onderwijs_ele_kWh/1000)</f>
        <v>302.088190207705</v>
      </c>
      <c r="C31" s="39">
        <f>IF(ISERROR(B31*3.6/1000000/'E Balans VL '!Z11*100),0,B31*3.6/1000000/'E Balans VL '!Z11*100)</f>
        <v>7.5022648272763059E-2</v>
      </c>
      <c r="D31" s="233" t="s">
        <v>732</v>
      </c>
    </row>
    <row r="32" spans="1:18">
      <c r="A32" s="228" t="s">
        <v>254</v>
      </c>
      <c r="B32" s="33">
        <f>IF(ISERROR(TER_rest_ele_kWh/1000),0,TER_rest_ele_kWh/1000)</f>
        <v>9249.5859806817989</v>
      </c>
      <c r="C32" s="39">
        <f>IF(ISERROR(B32*3.6/1000000/'E Balans VL '!Z8*100),0,B32*3.6/1000000/'E Balans VL '!Z8*100)</f>
        <v>7.6111815043669984E-2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77823.630196409722</v>
      </c>
      <c r="C5" s="17">
        <f>IF(ISERROR('Eigen informatie GS &amp; warmtenet'!B59),0,'Eigen informatie GS &amp; warmtenet'!B59)</f>
        <v>0</v>
      </c>
      <c r="D5" s="30">
        <f>SUM(D6:D15)</f>
        <v>195362.1935686536</v>
      </c>
      <c r="E5" s="17">
        <f>SUM(E6:E15)</f>
        <v>4770.0656005797628</v>
      </c>
      <c r="F5" s="17">
        <f>SUM(F6:F15)</f>
        <v>16646.431816256612</v>
      </c>
      <c r="G5" s="18"/>
      <c r="H5" s="17"/>
      <c r="I5" s="17"/>
      <c r="J5" s="17">
        <f>SUM(J6:J15)</f>
        <v>258.83982294566476</v>
      </c>
      <c r="K5" s="17"/>
      <c r="L5" s="17"/>
      <c r="M5" s="17"/>
      <c r="N5" s="17">
        <f>SUM(N6:N15)</f>
        <v>5415.319195300759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2235.4069565016798</v>
      </c>
      <c r="C8" s="33"/>
      <c r="D8" s="37">
        <f>IF( ISERROR(IND_metaal_Gas_kWH/1000),0,IND_metaal_Gas_kWH/1000)*0.902</f>
        <v>6850.6981342387153</v>
      </c>
      <c r="E8" s="33">
        <f>C30*'E Balans VL '!I18/100/3.6*1000000</f>
        <v>20.552407988462431</v>
      </c>
      <c r="F8" s="33">
        <f>C30*'E Balans VL '!L18/100/3.6*1000000+C30*'E Balans VL '!N18/100/3.6*1000000</f>
        <v>209.60674828871376</v>
      </c>
      <c r="G8" s="34"/>
      <c r="H8" s="33"/>
      <c r="I8" s="33"/>
      <c r="J8" s="40">
        <f>C30*'E Balans VL '!D18/100/3.6*1000000+C30*'E Balans VL '!E18/100/3.6*1000000</f>
        <v>0</v>
      </c>
      <c r="K8" s="33"/>
      <c r="L8" s="33"/>
      <c r="M8" s="33"/>
      <c r="N8" s="33">
        <f>C30*'E Balans VL '!Y18/100/3.6*1000000</f>
        <v>31.891774400057272</v>
      </c>
      <c r="O8" s="33"/>
      <c r="P8" s="33"/>
      <c r="R8" s="32"/>
    </row>
    <row r="9" spans="1:18">
      <c r="A9" s="6" t="s">
        <v>32</v>
      </c>
      <c r="B9" s="37">
        <f t="shared" si="0"/>
        <v>2587.28400658386</v>
      </c>
      <c r="C9" s="33"/>
      <c r="D9" s="37">
        <f>IF( ISERROR(IND_andere_gas_kWh/1000),0,IND_andere_gas_kWh/1000)*0.902</f>
        <v>2182.9664055700632</v>
      </c>
      <c r="E9" s="33">
        <f>C31*'E Balans VL '!I19/100/3.6*1000000</f>
        <v>756.31348360314291</v>
      </c>
      <c r="F9" s="33">
        <f>C31*'E Balans VL '!L19/100/3.6*1000000+C31*'E Balans VL '!N19/100/3.6*1000000</f>
        <v>2079.0785386945463</v>
      </c>
      <c r="G9" s="34"/>
      <c r="H9" s="33"/>
      <c r="I9" s="33"/>
      <c r="J9" s="40">
        <f>C31*'E Balans VL '!D19/100/3.6*1000000+C31*'E Balans VL '!E19/100/3.6*1000000</f>
        <v>0</v>
      </c>
      <c r="K9" s="33"/>
      <c r="L9" s="33"/>
      <c r="M9" s="33"/>
      <c r="N9" s="33">
        <f>C31*'E Balans VL '!Y19/100/3.6*1000000</f>
        <v>202.94304350784202</v>
      </c>
      <c r="O9" s="33"/>
      <c r="P9" s="33"/>
      <c r="R9" s="32"/>
    </row>
    <row r="10" spans="1:18">
      <c r="A10" s="6" t="s">
        <v>40</v>
      </c>
      <c r="B10" s="37">
        <f t="shared" si="0"/>
        <v>538.18366713811895</v>
      </c>
      <c r="C10" s="33"/>
      <c r="D10" s="37">
        <f>IF( ISERROR(IND_voed_gas_kWh/1000),0,IND_voed_gas_kWh/1000)*0.902</f>
        <v>723.92370160862174</v>
      </c>
      <c r="E10" s="33">
        <f>C32*'E Balans VL '!I20/100/3.6*1000000</f>
        <v>1.1385358924672824</v>
      </c>
      <c r="F10" s="33">
        <f>C32*'E Balans VL '!L20/100/3.6*1000000+C32*'E Balans VL '!N20/100/3.6*1000000</f>
        <v>34.218267295136748</v>
      </c>
      <c r="G10" s="34"/>
      <c r="H10" s="33"/>
      <c r="I10" s="33"/>
      <c r="J10" s="40">
        <f>C32*'E Balans VL '!D20/100/3.6*1000000+C32*'E Balans VL '!E20/100/3.6*1000000</f>
        <v>0</v>
      </c>
      <c r="K10" s="33"/>
      <c r="L10" s="33"/>
      <c r="M10" s="33"/>
      <c r="N10" s="33">
        <f>C32*'E Balans VL '!Y20/100/3.6*1000000</f>
        <v>37.13998395872779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168.00292772514999</v>
      </c>
      <c r="C13" s="33"/>
      <c r="D13" s="37">
        <f>IF( ISERROR(IND_papier_gas_kWh/1000),0,IND_papier_gas_kWh/1000)*0.902</f>
        <v>88.758205215719059</v>
      </c>
      <c r="E13" s="33">
        <f>C35*'E Balans VL '!I23/100/3.6*1000000</f>
        <v>0.23835773247068606</v>
      </c>
      <c r="F13" s="33">
        <f>C35*'E Balans VL '!L23/100/3.6*1000000+C35*'E Balans VL '!N23/100/3.6*1000000</f>
        <v>4.1015831975096884</v>
      </c>
      <c r="G13" s="34"/>
      <c r="H13" s="33"/>
      <c r="I13" s="33"/>
      <c r="J13" s="40">
        <f>C35*'E Balans VL '!D23/100/3.6*1000000+C35*'E Balans VL '!E23/100/3.6*1000000</f>
        <v>2.5983230080297036E-2</v>
      </c>
      <c r="K13" s="33"/>
      <c r="L13" s="33"/>
      <c r="M13" s="33"/>
      <c r="N13" s="33">
        <f>C35*'E Balans VL '!Y23/100/3.6*1000000</f>
        <v>68.643560389409018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72294.752638460908</v>
      </c>
      <c r="C15" s="33"/>
      <c r="D15" s="37">
        <f>IF( ISERROR(IND_rest_gas_kWh/1000),0,IND_rest_gas_kWh/1000)*0.902</f>
        <v>185515.84712202047</v>
      </c>
      <c r="E15" s="33">
        <f>C37*'E Balans VL '!I15/100/3.6*1000000</f>
        <v>3991.8228153632194</v>
      </c>
      <c r="F15" s="33">
        <f>C37*'E Balans VL '!L15/100/3.6*1000000+C37*'E Balans VL '!N15/100/3.6*1000000</f>
        <v>14319.426678780705</v>
      </c>
      <c r="G15" s="34"/>
      <c r="H15" s="33"/>
      <c r="I15" s="33"/>
      <c r="J15" s="40">
        <f>C37*'E Balans VL '!D15/100/3.6*1000000+C37*'E Balans VL '!E15/100/3.6*1000000</f>
        <v>258.81383971558449</v>
      </c>
      <c r="K15" s="33"/>
      <c r="L15" s="33"/>
      <c r="M15" s="33"/>
      <c r="N15" s="33">
        <f>C37*'E Balans VL '!Y15/100/3.6*1000000</f>
        <v>5074.7008330447225</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77823.630196409722</v>
      </c>
      <c r="C18" s="21">
        <f>C5+C16</f>
        <v>0</v>
      </c>
      <c r="D18" s="21">
        <f>MAX((D5+D16),0)</f>
        <v>195362.1935686536</v>
      </c>
      <c r="E18" s="21">
        <f>MAX((E5+E16),0)</f>
        <v>4770.0656005797628</v>
      </c>
      <c r="F18" s="21">
        <f>MAX((F5+F16),0)</f>
        <v>16646.431816256612</v>
      </c>
      <c r="G18" s="21"/>
      <c r="H18" s="21"/>
      <c r="I18" s="21"/>
      <c r="J18" s="21">
        <f>MAX((J5+J16),0)</f>
        <v>258.83982294566476</v>
      </c>
      <c r="K18" s="21"/>
      <c r="L18" s="21">
        <f>MAX((L5+L16),0)</f>
        <v>0</v>
      </c>
      <c r="M18" s="21"/>
      <c r="N18" s="21">
        <f>MAX((N5+N16),0)</f>
        <v>5415.319195300759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0.18417524470629723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14333.186135356143</v>
      </c>
      <c r="C22" s="23">
        <f ca="1">C18*C20</f>
        <v>0</v>
      </c>
      <c r="D22" s="23">
        <f>D18*D20</f>
        <v>39463.163100868027</v>
      </c>
      <c r="E22" s="23">
        <f>E18*E20</f>
        <v>1082.8048913316061</v>
      </c>
      <c r="F22" s="23">
        <f>F18*F20</f>
        <v>4444.5972949405159</v>
      </c>
      <c r="G22" s="23"/>
      <c r="H22" s="23"/>
      <c r="I22" s="23"/>
      <c r="J22" s="23">
        <f>J18*J20</f>
        <v>91.629297322765325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2235.4069565016798</v>
      </c>
      <c r="C30" s="39">
        <f>IF(ISERROR(B30*3.6/1000000/'E Balans VL '!Z18*100),0,B30*3.6/1000000/'E Balans VL '!Z18*100)</f>
        <v>0.1266862441832845</v>
      </c>
      <c r="D30" s="233" t="s">
        <v>732</v>
      </c>
    </row>
    <row r="31" spans="1:18">
      <c r="A31" s="6" t="s">
        <v>32</v>
      </c>
      <c r="B31" s="37">
        <f>IF( ISERROR(IND_ander_ele_kWh/1000),0,IND_ander_ele_kWh/1000)</f>
        <v>2587.28400658386</v>
      </c>
      <c r="C31" s="39">
        <f>IF(ISERROR(B31*3.6/1000000/'E Balans VL '!Z19*100),0,B31*3.6/1000000/'E Balans VL '!Z19*100)</f>
        <v>0.11734842927554584</v>
      </c>
      <c r="D31" s="233" t="s">
        <v>732</v>
      </c>
    </row>
    <row r="32" spans="1:18">
      <c r="A32" s="168" t="s">
        <v>40</v>
      </c>
      <c r="B32" s="37">
        <f>IF( ISERROR(IND_voed_ele_kWh/1000),0,IND_voed_ele_kWh/1000)</f>
        <v>538.18366713811895</v>
      </c>
      <c r="C32" s="39">
        <f>IF(ISERROR(B32*3.6/1000000/'E Balans VL '!Z20*100),0,B32*3.6/1000000/'E Balans VL '!Z20*100)</f>
        <v>1.6648463972142456E-2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168.00292772514999</v>
      </c>
      <c r="C35" s="39">
        <f>IF(ISERROR(B35*3.6/1000000/'E Balans VL '!Z22*100),0,B35*3.6/1000000/'E Balans VL '!Z22*100)</f>
        <v>3.0218485066776879E-2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72294.752638460908</v>
      </c>
      <c r="C37" s="39">
        <f>IF(ISERROR(B37*3.6/1000000/'E Balans VL '!Z15*100),0,B37*3.6/1000000/'E Balans VL '!Z15*100)</f>
        <v>0.57302470106005676</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308.8248716146631</v>
      </c>
      <c r="C5" s="17">
        <f>'Eigen informatie GS &amp; warmtenet'!B60</f>
        <v>0</v>
      </c>
      <c r="D5" s="30">
        <f>IF(ISERROR(SUM(LB_lb_gas_kWh,LB_rest_gas_kWh)/1000),0,SUM(LB_lb_gas_kWh,LB_rest_gas_kWh)/1000)*0.902</f>
        <v>115.51890261592992</v>
      </c>
      <c r="E5" s="17">
        <f>B17*'E Balans VL '!I25/3.6*1000000/100</f>
        <v>9.0773062367853452</v>
      </c>
      <c r="F5" s="17">
        <f>B17*('E Balans VL '!L25/3.6*1000000+'E Balans VL '!N25/3.6*1000000)/100</f>
        <v>1286.5477271265395</v>
      </c>
      <c r="G5" s="18"/>
      <c r="H5" s="17"/>
      <c r="I5" s="17"/>
      <c r="J5" s="17">
        <f>('E Balans VL '!D25+'E Balans VL '!E25)/3.6*1000000*landbouw!B17/100</f>
        <v>44.742091806929963</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308.8248716146631</v>
      </c>
      <c r="C8" s="21">
        <f>C5+C6</f>
        <v>0</v>
      </c>
      <c r="D8" s="21">
        <f>MAX((D5+D6),0)</f>
        <v>115.51890261592992</v>
      </c>
      <c r="E8" s="21">
        <f>MAX((E5+E6),0)</f>
        <v>9.0773062367853452</v>
      </c>
      <c r="F8" s="21">
        <f>MAX((F5+F6),0)</f>
        <v>1286.5477271265395</v>
      </c>
      <c r="G8" s="21"/>
      <c r="H8" s="21"/>
      <c r="I8" s="21"/>
      <c r="J8" s="21">
        <f>MAX((J5+J6),0)</f>
        <v>44.742091806929963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0.18417524470629723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56.877896301021401</v>
      </c>
      <c r="C12" s="23">
        <f ca="1">C8*C10</f>
        <v>0</v>
      </c>
      <c r="D12" s="23">
        <f>D8*D10</f>
        <v>23.334818328417846</v>
      </c>
      <c r="E12" s="23">
        <f>E8*E10</f>
        <v>2.0605485157502734</v>
      </c>
      <c r="F12" s="23">
        <f>F8*F10</f>
        <v>343.50824314278606</v>
      </c>
      <c r="G12" s="23"/>
      <c r="H12" s="23"/>
      <c r="I12" s="23"/>
      <c r="J12" s="23">
        <f>J8*J10</f>
        <v>15.838700499653205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4.382321819060668E-2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85.107502269726837</v>
      </c>
      <c r="C26" s="243">
        <f>B26*'GWP N2O_CH4'!B5</f>
        <v>1787.2575476642635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13.530568236593352</v>
      </c>
      <c r="C27" s="243">
        <f>B27*'GWP N2O_CH4'!B5</f>
        <v>284.14193296846037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1.1567086710145766</v>
      </c>
      <c r="C28" s="243">
        <f>B28*'GWP N2O_CH4'!B4</f>
        <v>358.57968801451875</v>
      </c>
      <c r="D28" s="50"/>
    </row>
    <row r="29" spans="1:4">
      <c r="A29" s="41" t="s">
        <v>271</v>
      </c>
      <c r="B29" s="243">
        <f>B34*'ha_N2O bodem landbouw'!B4</f>
        <v>4.3306186626726637</v>
      </c>
      <c r="C29" s="243">
        <f>B29*'GWP N2O_CH4'!B4</f>
        <v>1342.4917854285256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9.8823225484606625E-4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5.320224856809495E-4</v>
      </c>
      <c r="C5" s="431" t="s">
        <v>210</v>
      </c>
      <c r="D5" s="416">
        <f>SUM(D6:D11)</f>
        <v>8.8078296360488196E-4</v>
      </c>
      <c r="E5" s="416">
        <f>SUM(E6:E11)</f>
        <v>1.600710410108792E-3</v>
      </c>
      <c r="F5" s="429" t="s">
        <v>210</v>
      </c>
      <c r="G5" s="416">
        <f>SUM(G6:G11)</f>
        <v>0.95786900546456843</v>
      </c>
      <c r="H5" s="416">
        <f>SUM(H6:H11)</f>
        <v>0.14276396073567882</v>
      </c>
      <c r="I5" s="431" t="s">
        <v>210</v>
      </c>
      <c r="J5" s="431" t="s">
        <v>210</v>
      </c>
      <c r="K5" s="431" t="s">
        <v>210</v>
      </c>
      <c r="L5" s="431" t="s">
        <v>210</v>
      </c>
      <c r="M5" s="416">
        <f>SUM(M6:M11)</f>
        <v>6.0166820061250639E-2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2.6972153332478771E-4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4.5344932786336219E-4</v>
      </c>
      <c r="E6" s="859">
        <f>vkm_GW_PW*SUMIFS(TableVerdeelsleutelVkm[LPG],TableVerdeelsleutelVkm[Voertuigtype],"Lichte voertuigen")*SUMIFS(TableECFTransport[EnergieConsumptieFactor (PJ per km)],TableECFTransport[Index],CONCATENATE($A6,"_LPG_LPG"))</f>
        <v>7.9784797698510986E-4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0.23671918472308459</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7.3260907135079448E-2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1.5987284135504057E-2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1.0253645673350567E-5</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0.32935139123265933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5.3735611848620766E-6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1.9242534157010469E-2</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1.1400418223064136E-4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2.4575169170707112E-4</v>
      </c>
      <c r="E8" s="419">
        <f>vkm_NGW_PW*SUMIFS(TableVerdeelsleutelVkm[LPG],TableVerdeelsleutelVkm[Voertuigtype],"Lichte voertuigen")*SUMIFS(TableECFTransport[EnergieConsumptieFactor (PJ per km)],TableECFTransport[Index],CONCATENATE($A8,"_LPG_LPG"))</f>
        <v>4.1406380772041908E-4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0.11424405662036732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3.8888178040461775E-2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7.819663650403378E-3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2.1907937954824868E-6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9.0288360156075484E-2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1.385804097032512E-6</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5.2751439768295109E-3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1.331817795962438E-4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1.8158194403444862E-4</v>
      </c>
      <c r="E10" s="419">
        <f>vkm_SW_PW*SUMIFS(TableVerdeelsleutelVkm[LPG],TableVerdeelsleutelVkm[Voertuigtype],"Lichte voertuigen")*SUMIFS(TableECFTransport[EnergieConsumptieFactor (PJ per km)],TableECFTransport[Index],CONCATENATE($A10,"_LPG_LPG"))</f>
        <v>3.8879862540326302E-4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0.10556272264053301</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3.0606675688370596E-2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7.0686318178253419E-3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2.6705510604435571E-6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8.1703290091848721E-2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1.4405064850991962E-6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4.7735623236778921E-3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147.78402380026375</v>
      </c>
      <c r="C14" s="21"/>
      <c r="D14" s="21">
        <f t="shared" ref="D14:M14" si="0">((D5)*10^9/3600)+D12</f>
        <v>244.66193433468945</v>
      </c>
      <c r="E14" s="21">
        <f t="shared" si="0"/>
        <v>444.64178058577551</v>
      </c>
      <c r="F14" s="21"/>
      <c r="G14" s="21">
        <f t="shared" si="0"/>
        <v>266074.7237401579</v>
      </c>
      <c r="H14" s="21">
        <f t="shared" si="0"/>
        <v>39656.655759910784</v>
      </c>
      <c r="I14" s="21"/>
      <c r="J14" s="21"/>
      <c r="K14" s="21"/>
      <c r="L14" s="21"/>
      <c r="M14" s="21">
        <f t="shared" si="0"/>
        <v>16713.005572569622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0.18417524470629723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27.218158747094829</v>
      </c>
      <c r="C18" s="23"/>
      <c r="D18" s="23">
        <f t="shared" ref="D18:M18" si="1">D14*D16</f>
        <v>49.42171073560727</v>
      </c>
      <c r="E18" s="23">
        <f t="shared" si="1"/>
        <v>100.93368419297104</v>
      </c>
      <c r="F18" s="23"/>
      <c r="G18" s="23">
        <f t="shared" si="1"/>
        <v>71041.951238622161</v>
      </c>
      <c r="H18" s="23">
        <f t="shared" si="1"/>
        <v>9874.5072842177851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7.6523227327358935E-5</v>
      </c>
      <c r="C50" s="313">
        <f t="shared" ref="C50:P50" si="2">SUM(C51:C52)</f>
        <v>0</v>
      </c>
      <c r="D50" s="313">
        <f t="shared" si="2"/>
        <v>0</v>
      </c>
      <c r="E50" s="313">
        <f t="shared" si="2"/>
        <v>0</v>
      </c>
      <c r="F50" s="313">
        <f t="shared" si="2"/>
        <v>0</v>
      </c>
      <c r="G50" s="313">
        <f t="shared" si="2"/>
        <v>7.188597645797031E-3</v>
      </c>
      <c r="H50" s="313">
        <f t="shared" si="2"/>
        <v>0</v>
      </c>
      <c r="I50" s="313">
        <f t="shared" si="2"/>
        <v>0</v>
      </c>
      <c r="J50" s="313">
        <f t="shared" si="2"/>
        <v>0</v>
      </c>
      <c r="K50" s="313">
        <f t="shared" si="2"/>
        <v>0</v>
      </c>
      <c r="L50" s="313">
        <f t="shared" si="2"/>
        <v>0</v>
      </c>
      <c r="M50" s="313">
        <f t="shared" si="2"/>
        <v>4.1396975454181524E-4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7.6523227327358935E-5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7.188597645797031E-3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4.1396975454181524E-4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21.256452035377482</v>
      </c>
      <c r="C54" s="21">
        <f t="shared" ref="C54:P54" si="3">(C50)*10^9/3600</f>
        <v>0</v>
      </c>
      <c r="D54" s="21">
        <f t="shared" si="3"/>
        <v>0</v>
      </c>
      <c r="E54" s="21">
        <f t="shared" si="3"/>
        <v>0</v>
      </c>
      <c r="F54" s="21">
        <f t="shared" si="3"/>
        <v>0</v>
      </c>
      <c r="G54" s="21">
        <f t="shared" si="3"/>
        <v>1996.8326793880642</v>
      </c>
      <c r="H54" s="21">
        <f t="shared" si="3"/>
        <v>0</v>
      </c>
      <c r="I54" s="21">
        <f t="shared" si="3"/>
        <v>0</v>
      </c>
      <c r="J54" s="21">
        <f t="shared" si="3"/>
        <v>0</v>
      </c>
      <c r="K54" s="21">
        <f t="shared" si="3"/>
        <v>0</v>
      </c>
      <c r="L54" s="21">
        <f t="shared" si="3"/>
        <v>0</v>
      </c>
      <c r="M54" s="21">
        <f t="shared" si="3"/>
        <v>114.99159848383758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0.18417524470629723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3.9149122552033178</v>
      </c>
      <c r="C58" s="23">
        <f t="shared" ref="C58:P58" ca="1" si="4">C54*C56</f>
        <v>0</v>
      </c>
      <c r="D58" s="23">
        <f t="shared" si="4"/>
        <v>0</v>
      </c>
      <c r="E58" s="23">
        <f t="shared" si="4"/>
        <v>0</v>
      </c>
      <c r="F58" s="23">
        <f t="shared" si="4"/>
        <v>0</v>
      </c>
      <c r="G58" s="23">
        <f t="shared" si="4"/>
        <v>533.15432539661322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12918.360939409742</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15768.855698164582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28687.216637574325</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2021-06-29T15:36:25Z</dcterms:modified>
</cp:coreProperties>
</file>