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M88" i="14" s="1"/>
  <c r="M18" i="59" s="1"/>
  <c r="G18" i="18"/>
  <c r="H88" i="14" s="1"/>
  <c r="F18" i="18"/>
  <c r="E18" i="18"/>
  <c r="D18" i="18"/>
  <c r="C18" i="18"/>
  <c r="D88" i="14" s="1"/>
  <c r="D18" i="59" s="1"/>
  <c r="B18" i="18"/>
  <c r="L9" i="18"/>
  <c r="K9" i="18"/>
  <c r="N77" i="14" s="1"/>
  <c r="N9" i="59"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B13" i="15" l="1"/>
  <c r="F13" i="15"/>
  <c r="P32" i="48"/>
  <c r="O32" i="48"/>
  <c r="R25" i="14"/>
  <c r="O31" i="48"/>
  <c r="P31" i="48"/>
  <c r="F20" i="18"/>
  <c r="L6" i="17"/>
  <c r="O25" i="48"/>
  <c r="D13" i="15"/>
  <c r="N6" i="17"/>
  <c r="B46" i="18"/>
  <c r="C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0" i="18"/>
  <c r="E17" i="18" s="1"/>
  <c r="H50" i="18"/>
  <c r="D50" i="18"/>
  <c r="G50" i="18"/>
  <c r="Q14" i="48"/>
  <c r="O24" i="48"/>
  <c r="O30" i="48"/>
  <c r="P24" i="48"/>
  <c r="P30" i="48"/>
  <c r="E78" i="14"/>
  <c r="E90" i="14"/>
  <c r="N78" i="14"/>
  <c r="B50" i="18" l="1"/>
  <c r="C17" i="18" s="1"/>
  <c r="I50" i="18"/>
  <c r="H17" i="18" s="1"/>
  <c r="M87" i="14" s="1"/>
  <c r="B49" i="18"/>
  <c r="C8" i="18" s="1"/>
  <c r="D76" i="14" s="1"/>
  <c r="D8" i="59" s="1"/>
  <c r="D10" i="59" s="1"/>
  <c r="F50" i="18"/>
  <c r="D49" i="18"/>
  <c r="J8" i="18" s="1"/>
  <c r="Q77" i="14"/>
  <c r="P9" i="59"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J17" i="18"/>
  <c r="F87" i="14"/>
  <c r="E20" i="18"/>
  <c r="I17" i="18"/>
  <c r="H20" i="18"/>
  <c r="M76" i="14"/>
  <c r="H10" i="18"/>
  <c r="H14" i="15"/>
  <c r="H16" i="15" s="1"/>
  <c r="G14" i="15"/>
  <c r="G16" i="15" s="1"/>
  <c r="C10" i="18" l="1"/>
  <c r="I8" i="18"/>
  <c r="I10" i="18" s="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2" i="13"/>
  <c r="B35" i="13"/>
  <c r="C35" i="13" s="1"/>
  <c r="B33" i="13"/>
  <c r="C34" i="13"/>
  <c r="P5" i="13"/>
  <c r="P8" i="13" s="1"/>
  <c r="Q11" i="14" s="1"/>
  <c r="B37"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P4" i="48" l="1"/>
  <c r="P22" i="48"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J63" i="14" l="1"/>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<sst xmlns="http://schemas.openxmlformats.org/spreadsheetml/2006/main" count="2507" uniqueCount="923">
  <si>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</si>
  <si>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</si>
  <si>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</si>
  <si>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</si>
  <si>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</si>
  <si>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</si>
  <si>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</si>
  <si>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</si>
  <si>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</si>
  <si>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</si>
  <si>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</si>
  <si>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</si>
  <si>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</si>
  <si>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</si>
  <si>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</si>
  <si>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</si>
  <si>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</si>
  <si>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</si>
  <si>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</si>
  <si>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</si>
  <si>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</si>
  <si>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</si>
  <si>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</si>
  <si>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</si>
  <si>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</si>
  <si>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</si>
  <si>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</si>
  <si>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</si>
  <si>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</si>
  <si>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</si>
  <si>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</si>
  <si>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</si>
  <si>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</si>
  <si>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</si>
  <si>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</si>
  <si>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</si>
  <si>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</si>
  <si>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</si>
  <si>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</si>
  <si>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</si>
  <si>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</si>
  <si>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</si>
  <si>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</si>
  <si>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</si>
  <si>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</si>
  <si>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</si>
  <si>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</si>
  <si>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</si>
  <si>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</si>
  <si>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</si>
  <si>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</si>
  <si>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</si>
  <si>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</si>
  <si>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</si>
  <si>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</si>
  <si>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</si>
  <si>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</si>
  <si>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</si>
  <si>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</si>
  <si>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</si>
  <si>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</si>
  <si>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</si>
  <si>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</si>
  <si>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</si>
  <si>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</si>
  <si>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</si>
  <si>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</si>
  <si>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</si>
  <si>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</si>
  <si>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</si>
  <si>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</si>
  <si>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</si>
  <si>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</si>
  <si>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</si>
  <si>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</si>
  <si>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</si>
  <si>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</si>
  <si>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</si>
  <si>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</si>
  <si>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</si>
  <si>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</si>
  <si>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</si>
  <si>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</si>
  <si>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</si>
  <si>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</si>
  <si>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</si>
  <si>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</si>
  <si>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</si>
  <si>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</si>
  <si>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</si>
  <si>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</si>
  <si>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</si>
  <si>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</si>
  <si>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</si>
  <si>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</si>
  <si>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</si>
  <si>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</si>
  <si>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</si>
  <si>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</si>
  <si>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</si>
  <si>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</si>
  <si>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</si>
  <si>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</si>
  <si>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</si>
  <si>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</si>
  <si>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</si>
  <si>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</si>
  <si>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</si>
  <si>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</si>
  <si>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</si>
  <si>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</si>
  <si>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</si>
  <si>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</si>
  <si>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</si>
  <si>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</si>
  <si>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</si>
  <si>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</si>
  <si>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</si>
  <si>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</si>
  <si>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</si>
  <si>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</si>
  <si>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</si>
  <si>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</si>
  <si>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</si>
  <si>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</si>
  <si>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</si>
  <si>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</si>
  <si>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</si>
  <si>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</si>
  <si>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</si>
  <si>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</si>
  <si>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</si>
  <si>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</si>
  <si>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</si>
  <si>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</si>
  <si>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</si>
  <si>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</si>
  <si>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</si>
  <si>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</si>
  <si>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</si>
  <si>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</si>
  <si>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</si>
  <si>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</si>
  <si>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</si>
  <si>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</si>
  <si>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</si>
  <si>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</si>
  <si>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</si>
  <si>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</si>
  <si>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</si>
  <si>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</si>
  <si>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</si>
  <si>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</si>
  <si>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</si>
  <si>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</si>
  <si>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</si>
  <si>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</si>
  <si>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</si>
  <si>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</si>
  <si>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</si>
  <si>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</si>
  <si>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</si>
  <si>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</si>
  <si>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</si>
  <si>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</si>
  <si>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</si>
  <si>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</si>
  <si>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</si>
  <si>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</si>
  <si>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</si>
  <si>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</si>
  <si>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</si>
  <si>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</si>
  <si>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</si>
  <si>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</si>
  <si>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</si>
  <si>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</si>
  <si>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</si>
  <si>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</si>
  <si>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</si>
  <si>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</si>
  <si>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</si>
  <si>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</si>
  <si>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</si>
  <si>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</si>
  <si>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</si>
  <si>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</si>
  <si>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</si>
  <si>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</si>
  <si>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</si>
  <si>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</si>
  <si>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</si>
  <si>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</si>
  <si>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</si>
  <si>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</si>
  <si>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</si>
  <si>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</si>
  <si>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</si>
  <si>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</si>
  <si>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</si>
  <si>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</si>
  <si>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</si>
  <si>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</si>
  <si>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</si>
  <si>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</si>
  <si>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</si>
  <si>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</si>
  <si>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</si>
  <si>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</si>
  <si>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</si>
  <si>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</si>
  <si>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</si>
  <si>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</si>
  <si>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</si>
  <si>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</si>
  <si>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</si>
  <si>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</si>
  <si>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</si>
  <si>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</si>
  <si>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</si>
  <si>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</si>
  <si>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</si>
  <si>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</si>
  <si>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</si>
  <si>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</si>
  <si>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</si>
  <si>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</si>
  <si>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</si>
  <si>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</si>
  <si>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</si>
  <si>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</si>
  <si>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</si>
  <si>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</si>
  <si>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</si>
  <si>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</si>
  <si>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</si>
  <si>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</si>
  <si>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</si>
  <si>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</si>
  <si>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</si>
  <si>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</si>
  <si>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</si>
  <si>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</si>
  <si>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</si>
  <si>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</si>
  <si>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</si>
  <si>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</si>
  <si>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</si>
  <si>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</si>
  <si>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</si>
  <si>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</si>
  <si>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</si>
  <si>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</si>
  <si>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</si>
  <si>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</si>
  <si>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</si>
  <si>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</si>
  <si>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</si>
  <si>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</si>
  <si>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</si>
  <si>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</si>
  <si>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</si>
  <si>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</si>
  <si>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</si>
  <si>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</si>
  <si>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</si>
  <si>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</si>
  <si>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</si>
  <si>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</si>
  <si>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</si>
  <si>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</si>
  <si>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</si>
  <si>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</si>
  <si>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</si>
  <si>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</si>
  <si>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</si>
  <si>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</si>
  <si>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</si>
  <si>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</si>
  <si>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</si>
  <si>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</si>
  <si>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</si>
  <si>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</si>
  <si>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</si>
  <si>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</si>
  <si>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</si>
  <si>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</si>
  <si>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</si>
  <si>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</si>
  <si>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</si>
  <si>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</si>
  <si>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</si>
  <si>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</si>
  <si>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</si>
  <si>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</si>
  <si>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</si>
  <si>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</si>
  <si>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</si>
  <si>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</si>
  <si>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</si>
  <si>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</si>
  <si>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</si>
  <si>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</si>
  <si>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</si>
  <si>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</si>
  <si>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</si>
  <si>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</si>
  <si>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</si>
  <si>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</si>
  <si>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</si>
  <si>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</si>
  <si>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</si>
  <si>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</si>
  <si>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</si>
  <si>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</si>
  <si>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</si>
  <si>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</si>
  <si>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</si>
  <si>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</si>
  <si>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</si>
  <si>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</si>
  <si>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</si>
  <si>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</si>
  <si>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</si>
  <si>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</si>
  <si>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</si>
  <si>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</si>
  <si>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</si>
  <si>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</si>
  <si>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</si>
  <si>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</si>
  <si>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</si>
  <si>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</si>
  <si>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</si>
  <si>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</si>
  <si>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</si>
  <si>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</si>
  <si>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</si>
  <si>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</si>
  <si>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</si>
  <si>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</si>
  <si>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</si>
  <si>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</si>
  <si>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</si>
  <si>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</si>
  <si>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</si>
  <si>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</si>
  <si>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</si>
  <si>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</si>
  <si>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</si>
  <si>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</si>
  <si>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</si>
  <si>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</si>
  <si>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</si>
  <si>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</si>
  <si>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</si>
  <si>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</si>
  <si>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</si>
  <si>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</si>
  <si>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</si>
  <si>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</si>
  <si>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</si>
  <si>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</si>
  <si>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</si>
  <si>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</si>
  <si>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</si>
  <si>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</si>
  <si>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</si>
  <si>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</si>
  <si>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</si>
  <si>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</si>
  <si>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</si>
  <si>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</si>
  <si>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</si>
  <si>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</si>
  <si>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</si>
  <si>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</si>
  <si>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</si>
  <si>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</si>
  <si>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</si>
  <si>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</si>
  <si>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</si>
  <si>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</si>
  <si>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</si>
  <si>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</si>
  <si>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</si>
  <si>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</si>
  <si>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</si>
  <si>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</si>
  <si>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</si>
  <si>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</si>
  <si>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</si>
  <si>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</si>
  <si>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</si>
  <si>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</si>
  <si>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</si>
  <si>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</si>
  <si>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</si>
  <si>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</si>
  <si>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</si>
  <si>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</si>
  <si>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</si>
  <si>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</si>
  <si>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</si>
  <si>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</si>
  <si>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</si>
  <si>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</si>
  <si>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</si>
  <si>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</si>
  <si>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</si>
  <si>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</si>
  <si>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</si>
  <si>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</si>
  <si>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</si>
  <si>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</si>
  <si>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</si>
  <si>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</si>
  <si>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</si>
  <si>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</si>
  <si>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</si>
  <si>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</si>
  <si>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</si>
  <si>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</si>
  <si>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</si>
  <si>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</si>
  <si>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</si>
  <si>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</si>
  <si>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</si>
  <si>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</si>
  <si>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</si>
  <si>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</si>
  <si>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</si>
  <si>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</si>
  <si>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</si>
  <si>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</si>
  <si>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</si>
  <si>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</si>
  <si>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</si>
  <si>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</si>
  <si>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</si>
  <si>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</si>
  <si>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</si>
  <si>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</si>
  <si>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</si>
  <si>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</si>
  <si>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</si>
  <si>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</si>
  <si>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</si>
  <si>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</si>
  <si>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</si>
  <si>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</si>
  <si>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</si>
  <si>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</si>
  <si>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</si>
  <si>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</si>
  <si>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</si>
  <si>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</si>
  <si>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</si>
  <si>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</si>
  <si>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</si>
  <si>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</si>
  <si>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</si>
  <si>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</si>
  <si>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</si>
  <si>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</si>
  <si>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</si>
  <si>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</si>
  <si>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</si>
  <si>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</si>
  <si>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</si>
  <si>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</si>
  <si>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</si>
  <si>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</si>
  <si>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</si>
  <si>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</si>
  <si>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</si>
  <si>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</si>
  <si>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</si>
  <si>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</si>
  <si>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</si>
  <si>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</si>
  <si>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</si>
  <si>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</si>
  <si>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</si>
  <si>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</si>
  <si>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</si>
  <si>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</si>
  <si>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</si>
  <si>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</si>
  <si>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</si>
  <si>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</si>
  <si>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</si>
  <si>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</si>
  <si>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</si>
  <si>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</si>
  <si>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</si>
  <si>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</si>
  <si>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</si>
  <si>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</si>
  <si>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</si>
  <si>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</si>
  <si>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</si>
  <si>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</si>
  <si>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</si>
  <si>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</si>
  <si>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</si>
  <si>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</si>
  <si>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</si>
  <si>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</si>
  <si>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</si>
  <si>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</si>
  <si>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</si>
  <si>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</si>
  <si>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</si>
  <si>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</si>
  <si>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</si>
  <si>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</si>
  <si>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</si>
  <si>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</si>
  <si>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</si>
  <si>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</si>
  <si>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</si>
  <si>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</si>
  <si>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</si>
  <si>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</si>
  <si>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</si>
  <si>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</si>
  <si>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</si>
  <si>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</si>
  <si>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</si>
  <si>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</si>
  <si>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</si>
  <si>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</si>
  <si>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</si>
  <si>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</si>
  <si>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</si>
  <si>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</si>
  <si>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</si>
  <si>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</si>
  <si>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</si>
  <si>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</si>
  <si>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</si>
  <si>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</si>
  <si>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</si>
  <si>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</si>
  <si>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</si>
  <si>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</si>
  <si>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</si>
  <si>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</si>
  <si>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</si>
  <si>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</si>
  <si>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</si>
  <si>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</si>
  <si>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</si>
  <si>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</si>
  <si>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</si>
  <si>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</si>
  <si>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</si>
  <si>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</si>
  <si>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</si>
  <si>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</si>
  <si>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</si>
  <si>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</si>
  <si>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</si>
  <si>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</si>
  <si>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</si>
  <si>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</si>
  <si>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</si>
  <si>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</si>
  <si>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</si>
  <si>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</si>
  <si>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</si>
  <si>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</si>
  <si>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</si>
  <si>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</si>
  <si>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</si>
  <si>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</si>
  <si>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</si>
  <si>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</si>
  <si>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</si>
  <si>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</si>
  <si>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</si>
  <si>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</si>
  <si>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</si>
  <si>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</si>
  <si>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</si>
  <si>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</si>
  <si>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</si>
  <si>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</si>
  <si>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</si>
  <si>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</si>
  <si>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</si>
  <si>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</si>
  <si>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</si>
  <si>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</si>
  <si>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</si>
  <si>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</si>
  <si>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</si>
  <si>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</si>
  <si>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</si>
  <si>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</si>
  <si>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</si>
  <si>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</si>
  <si>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</si>
  <si>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</si>
  <si>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</si>
  <si>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</si>
  <si>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</si>
  <si>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</si>
  <si>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</si>
  <si>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</si>
  <si>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</si>
  <si>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</si>
  <si>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</si>
  <si>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</si>
  <si>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</si>
  <si>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</si>
  <si>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</si>
  <si>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</si>
  <si>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</si>
  <si>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</si>
  <si>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</si>
  <si>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</si>
  <si>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</si>
  <si>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</si>
  <si>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</si>
  <si>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</si>
  <si>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</si>
  <si>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</si>
  <si>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</si>
  <si>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</si>
  <si>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</si>
  <si>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</si>
  <si>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</si>
  <si>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</si>
  <si>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</si>
  <si>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</si>
  <si>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</si>
  <si>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</si>
  <si>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</si>
  <si>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</si>
  <si>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</si>
  <si>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</si>
  <si>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</si>
  <si>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</si>
  <si>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</si>
  <si>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</si>
  <si>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</si>
  <si>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</si>
  <si>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</si>
  <si>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</si>
  <si>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</si>
  <si>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</si>
  <si>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</si>
  <si>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</si>
  <si>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</si>
  <si>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</si>
  <si>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</si>
  <si>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</si>
  <si>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</si>
  <si>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</si>
  <si>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</si>
  <si>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</si>
  <si>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</si>
  <si>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</si>
  <si>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</si>
  <si>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</si>
  <si>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</si>
  <si>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</si>
  <si>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</si>
  <si>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</si>
  <si>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</si>
  <si>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</si>
  <si>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</si>
  <si>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</si>
  <si>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</si>
  <si>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</si>
  <si>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</si>
  <si>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</si>
  <si>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</si>
  <si>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</si>
  <si>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</si>
  <si>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</si>
  <si>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</si>
  <si>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</si>
  <si>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</si>
  <si>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</si>
  <si>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</si>
  <si>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</si>
  <si>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</si>
  <si>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</si>
  <si>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</si>
  <si>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</si>
  <si>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</si>
  <si>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</si>
  <si>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</si>
  <si>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</si>
  <si>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</si>
  <si>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</si>
  <si>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</si>
  <si>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</si>
  <si>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</si>
  <si>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</si>
  <si>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</si>
  <si>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</si>
  <si>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</si>
  <si>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</si>
  <si>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</si>
  <si>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</si>
  <si>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</si>
  <si>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</si>
  <si>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</si>
  <si>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</si>
  <si>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</si>
  <si>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</si>
  <si>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</si>
  <si>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</si>
  <si>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</si>
  <si>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</si>
  <si>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</si>
  <si>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</si>
  <si>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</si>
  <si>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</si>
  <si>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</si>
  <si>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</si>
  <si>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</si>
  <si>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</si>
  <si>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</si>
  <si>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</si>
  <si>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</si>
  <si>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</si>
  <si>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</si>
  <si>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</si>
  <si>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</si>
  <si>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</si>
  <si>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</si>
  <si>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</si>
  <si>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</si>
  <si>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</si>
  <si>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</si>
  <si>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</si>
  <si>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</si>
  <si>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</si>
  <si>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</si>
  <si>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</si>
  <si>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</si>
  <si>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</si>
  <si>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</si>
  <si>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</si>
  <si>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</si>
  <si>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</si>
  <si>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</si>
  <si>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</si>
  <si>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</si>
  <si>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</si>
  <si>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</si>
  <si>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</si>
  <si>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</si>
  <si>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</si>
  <si>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</si>
  <si>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</si>
  <si>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</si>
  <si>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</si>
  <si>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</si>
  <si>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</si>
  <si>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</si>
  <si>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</si>
  <si>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</si>
  <si>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</si>
  <si>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</si>
  <si>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</si>
  <si>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</si>
  <si>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</si>
  <si>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</si>
  <si>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</si>
  <si>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</si>
  <si>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</si>
  <si>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</si>
  <si>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</si>
  <si>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</si>
  <si>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</si>
  <si>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</si>
  <si>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</si>
  <si>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</si>
  <si>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</si>
  <si>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</si>
  <si>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</si>
  <si>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</si>
  <si>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</si>
  <si>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</si>
  <si>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</si>
  <si>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</si>
  <si>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</si>
  <si>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</si>
  <si>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</si>
  <si>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</si>
  <si>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</si>
  <si>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</si>
  <si>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</si>
  <si>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</si>
  <si>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</si>
  <si>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</si>
  <si>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</si>
  <si>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</si>
  <si>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</si>
  <si>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</si>
  <si>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</si>
  <si>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</si>
  <si>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</si>
  <si>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</si>
  <si>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</si>
  <si>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</si>
  <si>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</si>
  <si>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</si>
  <si>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</si>
  <si>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</si>
  <si>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</si>
  <si>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</si>
  <si>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</si>
  <si>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</si>
  <si>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</si>
  <si>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</si>
  <si>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</si>
  <si>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</si>
  <si>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</si>
  <si>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</si>
  <si>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</si>
  <si>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</si>
  <si>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</si>
  <si>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</si>
  <si>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</si>
  <si>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</si>
  <si>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</si>
  <si>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</si>
  <si>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</si>
  <si>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</si>
  <si>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</si>
  <si>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</si>
  <si>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</si>
  <si>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</si>
  <si>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</si>
  <si>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</si>
  <si>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</si>
  <si>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</si>
  <si>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</si>
  <si>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</si>
  <si>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</si>
  <si>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</si>
  <si>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</si>
  <si>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</si>
  <si>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</si>
  <si>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</si>
  <si>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</si>
  <si>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</si>
  <si>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</si>
  <si>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</si>
  <si>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</si>
  <si>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</si>
  <si>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</si>
  <si>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</si>
  <si>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</si>
  <si>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</si>
  <si>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</si>
  <si>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</si>
  <si>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</si>
  <si>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</si>
  <si>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</si>
  <si>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</si>
  <si>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</si>
  <si>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</si>
  <si>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</si>
  <si>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</si>
  <si>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</si>
  <si>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</si>
  <si>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</si>
  <si>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</si>
  <si>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</si>
  <si>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</si>
  <si>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</si>
  <si>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</si>
  <si>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</si>
  <si>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</si>
  <si>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</si>
  <si>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</si>
  <si>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</si>
  <si>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</si>
  <si>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</si>
  <si>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</si>
  <si>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</si>
  <si>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</si>
  <si>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</si>
  <si>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</si>
  <si>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</si>
  <si>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</si>
  <si>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</si>
  <si>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</si>
  <si>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</si>
  <si>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</si>
  <si>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</si>
  <si>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</si>
  <si>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</si>
  <si>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</si>
  <si>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</si>
  <si>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</si>
  <si>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</si>
  <si>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</si>
  <si>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73040</t>
  </si>
  <si>
    <t>KORTESSEM</t>
  </si>
  <si>
    <t>Paarden&amp;pony's 200 - 600 kg</t>
  </si>
  <si>
    <t>Paarden&amp;pony's &lt; 200 kg</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</si>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</sst>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69819.285663548857</c:v>
                </c:pt>
                <c:pt idx="1">
                  <c:v>14883.397253499597</c:v>
                </c:pt>
                <c:pt idx="2">
                  <c:v>455.05700000000002</c:v>
                </c:pt>
                <c:pt idx="3">
                  <c:v>25081.963132460889</c:v>
                </c:pt>
                <c:pt idx="4">
                  <c:v>2355.0429107496498</c:v>
                </c:pt>
                <c:pt idx="5">
                  <c:v>55775.504973920732</c:v>
                </c:pt>
                <c:pt idx="6">
                  <c:v>925.91181085489552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69819.285663548857</c:v>
                </c:pt>
                <c:pt idx="1">
                  <c:v>14883.397253499597</c:v>
                </c:pt>
                <c:pt idx="2">
                  <c:v>455.05700000000002</c:v>
                </c:pt>
                <c:pt idx="3">
                  <c:v>25081.963132460889</c:v>
                </c:pt>
                <c:pt idx="4">
                  <c:v>2355.0429107496498</c:v>
                </c:pt>
                <c:pt idx="5">
                  <c:v>55775.504973920732</c:v>
                </c:pt>
                <c:pt idx="6">
                  <c:v>925.91181085489552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13374.572741788641</c:v>
                </c:pt>
                <c:pt idx="2">
                  <c:v>2138.2279147362738</c:v>
                </c:pt>
                <c:pt idx="3">
                  <c:v>41.341152032319407</c:v>
                </c:pt>
                <c:pt idx="4">
                  <c:v>2137.1840611465136</c:v>
                </c:pt>
                <c:pt idx="5">
                  <c:v>385.45564171343881</c:v>
                </c:pt>
                <c:pt idx="6">
                  <c:v>14273.126019464878</c:v>
                </c:pt>
                <c:pt idx="7">
                  <c:v>238.89308463016366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13374.572741788641</c:v>
                </c:pt>
                <c:pt idx="2">
                  <c:v>2138.2279147362738</c:v>
                </c:pt>
                <c:pt idx="3">
                  <c:v>41.341152032319407</c:v>
                </c:pt>
                <c:pt idx="4">
                  <c:v>2137.1840611465136</c:v>
                </c:pt>
                <c:pt idx="5">
                  <c:v>385.45564171343881</c:v>
                </c:pt>
                <c:pt idx="6">
                  <c:v>14273.126019464878</c:v>
                </c:pt>
                <c:pt idx="7">
                  <c:v>238.89308463016366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73040</v>
      </c>
      <c r="B6" s="384"/>
      <c r="C6" s="385"/>
    </row>
    <row r="7" spans="1:7" s="382" customFormat="1" ht="15.75" customHeight="1">
      <c r="A7" s="386" t="str">
        <f>txtMunicipality</f>
        <v>KORTESSEM</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7300.4519999999993</v>
      </c>
      <c r="D10" s="972">
        <f ca="1">tertiair!C16</f>
        <v>0</v>
      </c>
      <c r="E10" s="972">
        <f ca="1">tertiair!D16</f>
        <v>5174.0911860000006</v>
      </c>
      <c r="F10" s="972">
        <f>tertiair!E16</f>
        <v>119.94525190254514</v>
      </c>
      <c r="G10" s="972">
        <f ca="1">tertiair!F16</f>
        <v>1662.702122984</v>
      </c>
      <c r="H10" s="972">
        <f>tertiair!G16</f>
        <v>0</v>
      </c>
      <c r="I10" s="972">
        <f>tertiair!H16</f>
        <v>0</v>
      </c>
      <c r="J10" s="972">
        <f>tertiair!I16</f>
        <v>0</v>
      </c>
      <c r="K10" s="972">
        <f>tertiair!J16</f>
        <v>0</v>
      </c>
      <c r="L10" s="972">
        <f>tertiair!K16</f>
        <v>0</v>
      </c>
      <c r="M10" s="972">
        <f ca="1">tertiair!L16</f>
        <v>0</v>
      </c>
      <c r="N10" s="972">
        <f>tertiair!M16</f>
        <v>0</v>
      </c>
      <c r="O10" s="972">
        <f ca="1">tertiair!N16</f>
        <v>1081.2636926130519</v>
      </c>
      <c r="P10" s="972">
        <f>tertiair!O16</f>
        <v>0</v>
      </c>
      <c r="Q10" s="973">
        <f>tertiair!P16</f>
        <v>0</v>
      </c>
      <c r="R10" s="668">
        <f ca="1">SUM(C10:Q10)</f>
        <v>15338.454253499596</v>
      </c>
      <c r="S10" s="67"/>
    </row>
    <row r="11" spans="1:19" s="441" customFormat="1">
      <c r="A11" s="777" t="s">
        <v>220</v>
      </c>
      <c r="B11" s="782"/>
      <c r="C11" s="972">
        <f>huishoudens!B8</f>
        <v>14363.363166360446</v>
      </c>
      <c r="D11" s="972">
        <f>huishoudens!C8</f>
        <v>0</v>
      </c>
      <c r="E11" s="972">
        <f>huishoudens!D8</f>
        <v>19541.227464</v>
      </c>
      <c r="F11" s="972">
        <f>huishoudens!E8</f>
        <v>1059.8486958243386</v>
      </c>
      <c r="G11" s="972">
        <f>huishoudens!F8</f>
        <v>28815.188205009617</v>
      </c>
      <c r="H11" s="972">
        <f>huishoudens!G8</f>
        <v>0</v>
      </c>
      <c r="I11" s="972">
        <f>huishoudens!H8</f>
        <v>0</v>
      </c>
      <c r="J11" s="972">
        <f>huishoudens!I8</f>
        <v>0</v>
      </c>
      <c r="K11" s="972">
        <f>huishoudens!J8</f>
        <v>531.40353802049572</v>
      </c>
      <c r="L11" s="972">
        <f>huishoudens!K8</f>
        <v>0</v>
      </c>
      <c r="M11" s="972">
        <f>huishoudens!L8</f>
        <v>0</v>
      </c>
      <c r="N11" s="972">
        <f>huishoudens!M8</f>
        <v>0</v>
      </c>
      <c r="O11" s="972">
        <f>huishoudens!N8</f>
        <v>4709.9079276673001</v>
      </c>
      <c r="P11" s="972">
        <f>huishoudens!O8</f>
        <v>150.08000000000001</v>
      </c>
      <c r="Q11" s="973">
        <f>huishoudens!P8</f>
        <v>648.26666666666665</v>
      </c>
      <c r="R11" s="668">
        <f>SUM(C11:Q11)</f>
        <v>69819.285663548857</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997.47</v>
      </c>
      <c r="D13" s="972">
        <f>industrie!C18</f>
        <v>0</v>
      </c>
      <c r="E13" s="972">
        <f>industrie!D18</f>
        <v>519.60431600000004</v>
      </c>
      <c r="F13" s="972">
        <f>industrie!E18</f>
        <v>142.43520522328052</v>
      </c>
      <c r="G13" s="972">
        <f>industrie!F18</f>
        <v>588.83334473663604</v>
      </c>
      <c r="H13" s="972">
        <f>industrie!G18</f>
        <v>0</v>
      </c>
      <c r="I13" s="972">
        <f>industrie!H18</f>
        <v>0</v>
      </c>
      <c r="J13" s="972">
        <f>industrie!I18</f>
        <v>0</v>
      </c>
      <c r="K13" s="972">
        <f>industrie!J18</f>
        <v>0.92041704274227532</v>
      </c>
      <c r="L13" s="972">
        <f>industrie!K18</f>
        <v>0</v>
      </c>
      <c r="M13" s="972">
        <f>industrie!L18</f>
        <v>0</v>
      </c>
      <c r="N13" s="972">
        <f>industrie!M18</f>
        <v>0</v>
      </c>
      <c r="O13" s="972">
        <f>industrie!N18</f>
        <v>105.7796277469906</v>
      </c>
      <c r="P13" s="972">
        <f>industrie!O18</f>
        <v>0</v>
      </c>
      <c r="Q13" s="973">
        <f>industrie!P18</f>
        <v>0</v>
      </c>
      <c r="R13" s="668">
        <f>SUM(C13:Q13)</f>
        <v>2355.0429107496498</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22661.285166360445</v>
      </c>
      <c r="D16" s="700">
        <f t="shared" ref="D16:R16" ca="1" si="0">SUM(D9:D15)</f>
        <v>0</v>
      </c>
      <c r="E16" s="700">
        <f t="shared" ca="1" si="0"/>
        <v>25234.922966000002</v>
      </c>
      <c r="F16" s="700">
        <f t="shared" si="0"/>
        <v>1322.2291529501642</v>
      </c>
      <c r="G16" s="700">
        <f t="shared" ca="1" si="0"/>
        <v>31066.723672730252</v>
      </c>
      <c r="H16" s="700">
        <f t="shared" si="0"/>
        <v>0</v>
      </c>
      <c r="I16" s="700">
        <f t="shared" si="0"/>
        <v>0</v>
      </c>
      <c r="J16" s="700">
        <f t="shared" si="0"/>
        <v>0</v>
      </c>
      <c r="K16" s="700">
        <f t="shared" si="0"/>
        <v>532.32395506323803</v>
      </c>
      <c r="L16" s="700">
        <f t="shared" si="0"/>
        <v>0</v>
      </c>
      <c r="M16" s="700">
        <f t="shared" ca="1" si="0"/>
        <v>0</v>
      </c>
      <c r="N16" s="700">
        <f t="shared" si="0"/>
        <v>0</v>
      </c>
      <c r="O16" s="700">
        <f t="shared" ca="1" si="0"/>
        <v>5896.9512480273424</v>
      </c>
      <c r="P16" s="700">
        <f t="shared" si="0"/>
        <v>150.08000000000001</v>
      </c>
      <c r="Q16" s="700">
        <f t="shared" si="0"/>
        <v>648.26666666666665</v>
      </c>
      <c r="R16" s="700">
        <f t="shared" ca="1" si="0"/>
        <v>87512.782827798103</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5.0085019319805539</v>
      </c>
      <c r="D19" s="972">
        <f>transport!C54</f>
        <v>0</v>
      </c>
      <c r="E19" s="972">
        <f>transport!D54</f>
        <v>0</v>
      </c>
      <c r="F19" s="972">
        <f>transport!E54</f>
        <v>0</v>
      </c>
      <c r="G19" s="972">
        <f>transport!F54</f>
        <v>0</v>
      </c>
      <c r="H19" s="972">
        <f>transport!G54</f>
        <v>893.02648230390594</v>
      </c>
      <c r="I19" s="972">
        <f>transport!H54</f>
        <v>0</v>
      </c>
      <c r="J19" s="972">
        <f>transport!I54</f>
        <v>0</v>
      </c>
      <c r="K19" s="972">
        <f>transport!J54</f>
        <v>0</v>
      </c>
      <c r="L19" s="972">
        <f>transport!K54</f>
        <v>0</v>
      </c>
      <c r="M19" s="972">
        <f>transport!L54</f>
        <v>0</v>
      </c>
      <c r="N19" s="972">
        <f>transport!M54</f>
        <v>27.876826619009126</v>
      </c>
      <c r="O19" s="972">
        <f>transport!N54</f>
        <v>0</v>
      </c>
      <c r="P19" s="972">
        <f>transport!O54</f>
        <v>0</v>
      </c>
      <c r="Q19" s="973">
        <f>transport!P54</f>
        <v>0</v>
      </c>
      <c r="R19" s="668">
        <f>SUM(C19:Q19)</f>
        <v>925.91181085489552</v>
      </c>
      <c r="S19" s="67"/>
    </row>
    <row r="20" spans="1:19" s="441" customFormat="1">
      <c r="A20" s="777" t="s">
        <v>302</v>
      </c>
      <c r="B20" s="782"/>
      <c r="C20" s="972">
        <f>transport!B14</f>
        <v>16.205595491958224</v>
      </c>
      <c r="D20" s="972">
        <f>transport!C14</f>
        <v>0</v>
      </c>
      <c r="E20" s="972">
        <f>transport!D14</f>
        <v>27.500831024592607</v>
      </c>
      <c r="F20" s="972">
        <f>transport!E14</f>
        <v>125.04203745287408</v>
      </c>
      <c r="G20" s="972">
        <f>transport!F14</f>
        <v>0</v>
      </c>
      <c r="H20" s="972">
        <f>transport!G14</f>
        <v>45041.563028499251</v>
      </c>
      <c r="I20" s="972">
        <f>transport!H14</f>
        <v>8881.9948987402749</v>
      </c>
      <c r="J20" s="972">
        <f>transport!I14</f>
        <v>0</v>
      </c>
      <c r="K20" s="972">
        <f>transport!J14</f>
        <v>0</v>
      </c>
      <c r="L20" s="972">
        <f>transport!K14</f>
        <v>0</v>
      </c>
      <c r="M20" s="972">
        <f>transport!L14</f>
        <v>0</v>
      </c>
      <c r="N20" s="972">
        <f>transport!M14</f>
        <v>1683.1985827117842</v>
      </c>
      <c r="O20" s="972">
        <f>transport!N14</f>
        <v>0</v>
      </c>
      <c r="P20" s="972">
        <f>transport!O14</f>
        <v>0</v>
      </c>
      <c r="Q20" s="973">
        <f>transport!P14</f>
        <v>0</v>
      </c>
      <c r="R20" s="668">
        <f>SUM(C20:Q20)</f>
        <v>55775.504973920732</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21.214097423938778</v>
      </c>
      <c r="D22" s="780">
        <f t="shared" ref="D22:R22" si="1">SUM(D18:D21)</f>
        <v>0</v>
      </c>
      <c r="E22" s="780">
        <f t="shared" si="1"/>
        <v>27.500831024592607</v>
      </c>
      <c r="F22" s="780">
        <f t="shared" si="1"/>
        <v>125.04203745287408</v>
      </c>
      <c r="G22" s="780">
        <f t="shared" si="1"/>
        <v>0</v>
      </c>
      <c r="H22" s="780">
        <f t="shared" si="1"/>
        <v>45934.589510803155</v>
      </c>
      <c r="I22" s="780">
        <f t="shared" si="1"/>
        <v>8881.9948987402749</v>
      </c>
      <c r="J22" s="780">
        <f t="shared" si="1"/>
        <v>0</v>
      </c>
      <c r="K22" s="780">
        <f t="shared" si="1"/>
        <v>0</v>
      </c>
      <c r="L22" s="780">
        <f t="shared" si="1"/>
        <v>0</v>
      </c>
      <c r="M22" s="780">
        <f t="shared" si="1"/>
        <v>0</v>
      </c>
      <c r="N22" s="780">
        <f t="shared" si="1"/>
        <v>1711.0754093307933</v>
      </c>
      <c r="O22" s="780">
        <f t="shared" si="1"/>
        <v>0</v>
      </c>
      <c r="P22" s="780">
        <f t="shared" si="1"/>
        <v>0</v>
      </c>
      <c r="Q22" s="780">
        <f t="shared" si="1"/>
        <v>0</v>
      </c>
      <c r="R22" s="780">
        <f t="shared" si="1"/>
        <v>56701.416784775625</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1882.191</v>
      </c>
      <c r="D24" s="972">
        <f>+landbouw!C8</f>
        <v>15907.5</v>
      </c>
      <c r="E24" s="972">
        <f>+landbouw!D8</f>
        <v>93.004838000000007</v>
      </c>
      <c r="F24" s="972">
        <f>+landbouw!E8</f>
        <v>48.534479112082181</v>
      </c>
      <c r="G24" s="972">
        <f>+landbouw!F8</f>
        <v>6879.7665508636746</v>
      </c>
      <c r="H24" s="972">
        <f>+landbouw!G8</f>
        <v>0</v>
      </c>
      <c r="I24" s="972">
        <f>+landbouw!H8</f>
        <v>0</v>
      </c>
      <c r="J24" s="972">
        <f>+landbouw!I8</f>
        <v>0</v>
      </c>
      <c r="K24" s="972">
        <f>+landbouw!J8</f>
        <v>270.96626448513507</v>
      </c>
      <c r="L24" s="972">
        <f>+landbouw!K8</f>
        <v>0</v>
      </c>
      <c r="M24" s="972">
        <f>+landbouw!L8</f>
        <v>0</v>
      </c>
      <c r="N24" s="972">
        <f>+landbouw!M8</f>
        <v>0</v>
      </c>
      <c r="O24" s="972">
        <f>+landbouw!N8</f>
        <v>0</v>
      </c>
      <c r="P24" s="972">
        <f>+landbouw!O8</f>
        <v>0</v>
      </c>
      <c r="Q24" s="973">
        <f>+landbouw!P8</f>
        <v>0</v>
      </c>
      <c r="R24" s="668">
        <f>SUM(C24:Q24)</f>
        <v>25081.963132460889</v>
      </c>
      <c r="S24" s="67"/>
    </row>
    <row r="25" spans="1:19" s="441" customFormat="1" ht="15" thickBot="1">
      <c r="A25" s="799" t="s">
        <v>821</v>
      </c>
      <c r="B25" s="975"/>
      <c r="C25" s="976">
        <f>IF(Onbekend_ele_kWh="---",0,Onbekend_ele_kWh)/1000+IF(REST_rest_ele_kWh="---",0,REST_rest_ele_kWh)/1000</f>
        <v>297.48399999999998</v>
      </c>
      <c r="D25" s="976"/>
      <c r="E25" s="976">
        <f>IF(onbekend_gas_kWh="---",0,onbekend_gas_kWh)/1000+IF(REST_rest_gas_kWh="---",0,REST_rest_gas_kWh)/1000</f>
        <v>461.351</v>
      </c>
      <c r="F25" s="976"/>
      <c r="G25" s="976"/>
      <c r="H25" s="976"/>
      <c r="I25" s="976"/>
      <c r="J25" s="976"/>
      <c r="K25" s="976"/>
      <c r="L25" s="976"/>
      <c r="M25" s="976"/>
      <c r="N25" s="976"/>
      <c r="O25" s="976"/>
      <c r="P25" s="976"/>
      <c r="Q25" s="977"/>
      <c r="R25" s="668">
        <f>SUM(C25:Q25)</f>
        <v>758.83500000000004</v>
      </c>
      <c r="S25" s="67"/>
    </row>
    <row r="26" spans="1:19" s="441" customFormat="1" ht="15.75" thickBot="1">
      <c r="A26" s="673" t="s">
        <v>822</v>
      </c>
      <c r="B26" s="785"/>
      <c r="C26" s="780">
        <f>SUM(C24:C25)</f>
        <v>2179.6750000000002</v>
      </c>
      <c r="D26" s="780">
        <f t="shared" ref="D26:R26" si="2">SUM(D24:D25)</f>
        <v>15907.5</v>
      </c>
      <c r="E26" s="780">
        <f t="shared" si="2"/>
        <v>554.35583799999995</v>
      </c>
      <c r="F26" s="780">
        <f t="shared" si="2"/>
        <v>48.534479112082181</v>
      </c>
      <c r="G26" s="780">
        <f t="shared" si="2"/>
        <v>6879.7665508636746</v>
      </c>
      <c r="H26" s="780">
        <f t="shared" si="2"/>
        <v>0</v>
      </c>
      <c r="I26" s="780">
        <f t="shared" si="2"/>
        <v>0</v>
      </c>
      <c r="J26" s="780">
        <f t="shared" si="2"/>
        <v>0</v>
      </c>
      <c r="K26" s="780">
        <f t="shared" si="2"/>
        <v>270.96626448513507</v>
      </c>
      <c r="L26" s="780">
        <f t="shared" si="2"/>
        <v>0</v>
      </c>
      <c r="M26" s="780">
        <f t="shared" si="2"/>
        <v>0</v>
      </c>
      <c r="N26" s="780">
        <f t="shared" si="2"/>
        <v>0</v>
      </c>
      <c r="O26" s="780">
        <f t="shared" si="2"/>
        <v>0</v>
      </c>
      <c r="P26" s="780">
        <f t="shared" si="2"/>
        <v>0</v>
      </c>
      <c r="Q26" s="780">
        <f t="shared" si="2"/>
        <v>0</v>
      </c>
      <c r="R26" s="780">
        <f t="shared" si="2"/>
        <v>25840.798132460888</v>
      </c>
      <c r="S26" s="67"/>
    </row>
    <row r="27" spans="1:19" s="441" customFormat="1" ht="17.25" thickTop="1" thickBot="1">
      <c r="A27" s="674" t="s">
        <v>115</v>
      </c>
      <c r="B27" s="773"/>
      <c r="C27" s="675">
        <f ca="1">C22+C16+C26</f>
        <v>24862.174263784382</v>
      </c>
      <c r="D27" s="675">
        <f t="shared" ref="D27:R27" ca="1" si="3">D22+D16+D26</f>
        <v>15907.5</v>
      </c>
      <c r="E27" s="675">
        <f t="shared" ca="1" si="3"/>
        <v>25816.779635024595</v>
      </c>
      <c r="F27" s="675">
        <f t="shared" si="3"/>
        <v>1495.8056695151206</v>
      </c>
      <c r="G27" s="675">
        <f t="shared" ca="1" si="3"/>
        <v>37946.490223593923</v>
      </c>
      <c r="H27" s="675">
        <f t="shared" si="3"/>
        <v>45934.589510803155</v>
      </c>
      <c r="I27" s="675">
        <f t="shared" si="3"/>
        <v>8881.9948987402749</v>
      </c>
      <c r="J27" s="675">
        <f t="shared" si="3"/>
        <v>0</v>
      </c>
      <c r="K27" s="675">
        <f t="shared" si="3"/>
        <v>803.2902195483731</v>
      </c>
      <c r="L27" s="675">
        <f t="shared" si="3"/>
        <v>0</v>
      </c>
      <c r="M27" s="675">
        <f t="shared" ca="1" si="3"/>
        <v>0</v>
      </c>
      <c r="N27" s="675">
        <f t="shared" si="3"/>
        <v>1711.0754093307933</v>
      </c>
      <c r="O27" s="675">
        <f t="shared" ca="1" si="3"/>
        <v>5896.9512480273424</v>
      </c>
      <c r="P27" s="675">
        <f t="shared" si="3"/>
        <v>150.08000000000001</v>
      </c>
      <c r="Q27" s="675">
        <f t="shared" si="3"/>
        <v>648.26666666666665</v>
      </c>
      <c r="R27" s="675">
        <f t="shared" ca="1" si="3"/>
        <v>170054.99774503461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663.23360817798698</v>
      </c>
      <c r="D40" s="972">
        <f ca="1">tertiair!C20</f>
        <v>0</v>
      </c>
      <c r="E40" s="972">
        <f ca="1">tertiair!D20</f>
        <v>1045.1664195720002</v>
      </c>
      <c r="F40" s="972">
        <f>tertiair!E20</f>
        <v>27.227572181877747</v>
      </c>
      <c r="G40" s="972">
        <f ca="1">tertiair!F20</f>
        <v>443.94146683672801</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2179.5690667685931</v>
      </c>
    </row>
    <row r="41" spans="1:18">
      <c r="A41" s="790" t="s">
        <v>220</v>
      </c>
      <c r="B41" s="797"/>
      <c r="C41" s="972">
        <f ca="1">huishoudens!B12</f>
        <v>1304.8870369116921</v>
      </c>
      <c r="D41" s="972">
        <f ca="1">huishoudens!C12</f>
        <v>0</v>
      </c>
      <c r="E41" s="972">
        <f>huishoudens!D12</f>
        <v>3947.3279477280003</v>
      </c>
      <c r="F41" s="972">
        <f>huishoudens!E12</f>
        <v>240.58565395212489</v>
      </c>
      <c r="G41" s="972">
        <f>huishoudens!F12</f>
        <v>7693.6552507375682</v>
      </c>
      <c r="H41" s="972">
        <f>huishoudens!G12</f>
        <v>0</v>
      </c>
      <c r="I41" s="972">
        <f>huishoudens!H12</f>
        <v>0</v>
      </c>
      <c r="J41" s="972">
        <f>huishoudens!I12</f>
        <v>0</v>
      </c>
      <c r="K41" s="972">
        <f>huishoudens!J12</f>
        <v>188.11685245925548</v>
      </c>
      <c r="L41" s="972">
        <f>huishoudens!K12</f>
        <v>0</v>
      </c>
      <c r="M41" s="972">
        <f>huishoudens!L12</f>
        <v>0</v>
      </c>
      <c r="N41" s="972">
        <f>huishoudens!M12</f>
        <v>0</v>
      </c>
      <c r="O41" s="972">
        <f>huishoudens!N12</f>
        <v>0</v>
      </c>
      <c r="P41" s="972">
        <f>huishoudens!O12</f>
        <v>0</v>
      </c>
      <c r="Q41" s="742">
        <f>huishoudens!P12</f>
        <v>0</v>
      </c>
      <c r="R41" s="818">
        <f t="shared" ca="1" si="4"/>
        <v>13374.572741788641</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90.61844761794157</v>
      </c>
      <c r="D43" s="972">
        <f ca="1">industrie!C22</f>
        <v>0</v>
      </c>
      <c r="E43" s="972">
        <f>industrie!D22</f>
        <v>104.96007183200001</v>
      </c>
      <c r="F43" s="972">
        <f>industrie!E22</f>
        <v>32.332791585684681</v>
      </c>
      <c r="G43" s="972">
        <f>industrie!F22</f>
        <v>157.21850304468182</v>
      </c>
      <c r="H43" s="972">
        <f>industrie!G22</f>
        <v>0</v>
      </c>
      <c r="I43" s="972">
        <f>industrie!H22</f>
        <v>0</v>
      </c>
      <c r="J43" s="972">
        <f>industrie!I22</f>
        <v>0</v>
      </c>
      <c r="K43" s="972">
        <f>industrie!J22</f>
        <v>0.32582763313076546</v>
      </c>
      <c r="L43" s="972">
        <f>industrie!K22</f>
        <v>0</v>
      </c>
      <c r="M43" s="972">
        <f>industrie!L22</f>
        <v>0</v>
      </c>
      <c r="N43" s="972">
        <f>industrie!M22</f>
        <v>0</v>
      </c>
      <c r="O43" s="972">
        <f>industrie!N22</f>
        <v>0</v>
      </c>
      <c r="P43" s="972">
        <f>industrie!O22</f>
        <v>0</v>
      </c>
      <c r="Q43" s="742">
        <f>industrie!P22</f>
        <v>0</v>
      </c>
      <c r="R43" s="817">
        <f t="shared" ca="1" si="4"/>
        <v>385.45564171343881</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2058.7390927076208</v>
      </c>
      <c r="D46" s="700">
        <f t="shared" ref="D46:Q46" ca="1" si="5">SUM(D39:D45)</f>
        <v>0</v>
      </c>
      <c r="E46" s="700">
        <f t="shared" ca="1" si="5"/>
        <v>5097.4544391320005</v>
      </c>
      <c r="F46" s="700">
        <f t="shared" si="5"/>
        <v>300.14601771968734</v>
      </c>
      <c r="G46" s="700">
        <f t="shared" ca="1" si="5"/>
        <v>8294.8152206189789</v>
      </c>
      <c r="H46" s="700">
        <f t="shared" si="5"/>
        <v>0</v>
      </c>
      <c r="I46" s="700">
        <f t="shared" si="5"/>
        <v>0</v>
      </c>
      <c r="J46" s="700">
        <f t="shared" si="5"/>
        <v>0</v>
      </c>
      <c r="K46" s="700">
        <f t="shared" si="5"/>
        <v>188.44268009238624</v>
      </c>
      <c r="L46" s="700">
        <f t="shared" si="5"/>
        <v>0</v>
      </c>
      <c r="M46" s="700">
        <f t="shared" ca="1" si="5"/>
        <v>0</v>
      </c>
      <c r="N46" s="700">
        <f t="shared" si="5"/>
        <v>0</v>
      </c>
      <c r="O46" s="700">
        <f t="shared" ca="1" si="5"/>
        <v>0</v>
      </c>
      <c r="P46" s="700">
        <f t="shared" si="5"/>
        <v>0</v>
      </c>
      <c r="Q46" s="700">
        <f t="shared" si="5"/>
        <v>0</v>
      </c>
      <c r="R46" s="700">
        <f ca="1">SUM(R39:R45)</f>
        <v>15939.597450270672</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0.45501385502074143</v>
      </c>
      <c r="D49" s="972">
        <f ca="1">transport!C58</f>
        <v>0</v>
      </c>
      <c r="E49" s="972">
        <f>transport!D58</f>
        <v>0</v>
      </c>
      <c r="F49" s="972">
        <f>transport!E58</f>
        <v>0</v>
      </c>
      <c r="G49" s="972">
        <f>transport!F58</f>
        <v>0</v>
      </c>
      <c r="H49" s="972">
        <f>transport!G58</f>
        <v>238.4380707751429</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238.89308463016366</v>
      </c>
    </row>
    <row r="50" spans="1:18">
      <c r="A50" s="793" t="s">
        <v>302</v>
      </c>
      <c r="B50" s="803"/>
      <c r="C50" s="671">
        <f ca="1">transport!B18</f>
        <v>1.4722507004777752</v>
      </c>
      <c r="D50" s="671">
        <f>transport!C18</f>
        <v>0</v>
      </c>
      <c r="E50" s="671">
        <f>transport!D18</f>
        <v>5.5551678669677074</v>
      </c>
      <c r="F50" s="671">
        <f>transport!E18</f>
        <v>28.384542501802418</v>
      </c>
      <c r="G50" s="671">
        <f>transport!F18</f>
        <v>0</v>
      </c>
      <c r="H50" s="671">
        <f>transport!G18</f>
        <v>12026.097328609301</v>
      </c>
      <c r="I50" s="671">
        <f>transport!H18</f>
        <v>2211.6167297863285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14273.126019464878</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1.9272645554985166</v>
      </c>
      <c r="D52" s="700">
        <f t="shared" ref="D52:Q52" ca="1" si="6">SUM(D48:D51)</f>
        <v>0</v>
      </c>
      <c r="E52" s="700">
        <f t="shared" si="6"/>
        <v>5.5551678669677074</v>
      </c>
      <c r="F52" s="700">
        <f t="shared" si="6"/>
        <v>28.384542501802418</v>
      </c>
      <c r="G52" s="700">
        <f t="shared" si="6"/>
        <v>0</v>
      </c>
      <c r="H52" s="700">
        <f t="shared" si="6"/>
        <v>12264.535399384444</v>
      </c>
      <c r="I52" s="700">
        <f t="shared" si="6"/>
        <v>2211.6167297863285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14512.019104095041</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170.993840958085</v>
      </c>
      <c r="D54" s="671">
        <f ca="1">+landbouw!C12</f>
        <v>3.5661894456467462</v>
      </c>
      <c r="E54" s="671">
        <f>+landbouw!D12</f>
        <v>18.786977276000002</v>
      </c>
      <c r="F54" s="671">
        <f>+landbouw!E12</f>
        <v>11.017326758442655</v>
      </c>
      <c r="G54" s="671">
        <f>+landbouw!F12</f>
        <v>1836.8976690806012</v>
      </c>
      <c r="H54" s="671">
        <f>+landbouw!G12</f>
        <v>0</v>
      </c>
      <c r="I54" s="671">
        <f>+landbouw!H12</f>
        <v>0</v>
      </c>
      <c r="J54" s="671">
        <f>+landbouw!I12</f>
        <v>0</v>
      </c>
      <c r="K54" s="671">
        <f>+landbouw!J12</f>
        <v>95.922057627737814</v>
      </c>
      <c r="L54" s="671">
        <f>+landbouw!K12</f>
        <v>0</v>
      </c>
      <c r="M54" s="671">
        <f>+landbouw!L12</f>
        <v>0</v>
      </c>
      <c r="N54" s="671">
        <f>+landbouw!M12</f>
        <v>0</v>
      </c>
      <c r="O54" s="671">
        <f>+landbouw!N12</f>
        <v>0</v>
      </c>
      <c r="P54" s="671">
        <f>+landbouw!O12</f>
        <v>0</v>
      </c>
      <c r="Q54" s="672">
        <f>+landbouw!P12</f>
        <v>0</v>
      </c>
      <c r="R54" s="699">
        <f ca="1">SUM(C54:Q54)</f>
        <v>2137.1840611465136</v>
      </c>
    </row>
    <row r="55" spans="1:18" ht="15" thickBot="1">
      <c r="A55" s="793" t="s">
        <v>821</v>
      </c>
      <c r="B55" s="803"/>
      <c r="C55" s="671">
        <f ca="1">C25*'EF ele_warmte'!B12</f>
        <v>27.025913833173657</v>
      </c>
      <c r="D55" s="671"/>
      <c r="E55" s="671">
        <f>E25*EF_CO2_aardgas</f>
        <v>93.192902000000004</v>
      </c>
      <c r="F55" s="671"/>
      <c r="G55" s="671"/>
      <c r="H55" s="671"/>
      <c r="I55" s="671"/>
      <c r="J55" s="671"/>
      <c r="K55" s="671"/>
      <c r="L55" s="671"/>
      <c r="M55" s="671"/>
      <c r="N55" s="671"/>
      <c r="O55" s="671"/>
      <c r="P55" s="671"/>
      <c r="Q55" s="672"/>
      <c r="R55" s="699">
        <f ca="1">SUM(C55:Q55)</f>
        <v>120.21881583317366</v>
      </c>
    </row>
    <row r="56" spans="1:18" ht="15.75" thickBot="1">
      <c r="A56" s="791" t="s">
        <v>822</v>
      </c>
      <c r="B56" s="804"/>
      <c r="C56" s="700">
        <f ca="1">SUM(C54:C55)</f>
        <v>198.01975479125866</v>
      </c>
      <c r="D56" s="700">
        <f t="shared" ref="D56:Q56" ca="1" si="7">SUM(D54:D55)</f>
        <v>3.5661894456467462</v>
      </c>
      <c r="E56" s="700">
        <f t="shared" si="7"/>
        <v>111.97987927600001</v>
      </c>
      <c r="F56" s="700">
        <f t="shared" si="7"/>
        <v>11.017326758442655</v>
      </c>
      <c r="G56" s="700">
        <f t="shared" si="7"/>
        <v>1836.8976690806012</v>
      </c>
      <c r="H56" s="700">
        <f t="shared" si="7"/>
        <v>0</v>
      </c>
      <c r="I56" s="700">
        <f t="shared" si="7"/>
        <v>0</v>
      </c>
      <c r="J56" s="700">
        <f t="shared" si="7"/>
        <v>0</v>
      </c>
      <c r="K56" s="700">
        <f t="shared" si="7"/>
        <v>95.922057627737814</v>
      </c>
      <c r="L56" s="700">
        <f t="shared" si="7"/>
        <v>0</v>
      </c>
      <c r="M56" s="700">
        <f t="shared" si="7"/>
        <v>0</v>
      </c>
      <c r="N56" s="700">
        <f t="shared" si="7"/>
        <v>0</v>
      </c>
      <c r="O56" s="700">
        <f t="shared" si="7"/>
        <v>0</v>
      </c>
      <c r="P56" s="700">
        <f t="shared" si="7"/>
        <v>0</v>
      </c>
      <c r="Q56" s="701">
        <f t="shared" si="7"/>
        <v>0</v>
      </c>
      <c r="R56" s="702">
        <f ca="1">SUM(R54:R55)</f>
        <v>2257.4028769796873</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2258.6861120543776</v>
      </c>
      <c r="D61" s="708">
        <f t="shared" ref="D61:Q61" ca="1" si="8">D46+D52+D56</f>
        <v>3.5661894456467462</v>
      </c>
      <c r="E61" s="708">
        <f t="shared" ca="1" si="8"/>
        <v>5214.9894862749688</v>
      </c>
      <c r="F61" s="708">
        <f t="shared" si="8"/>
        <v>339.5478869799324</v>
      </c>
      <c r="G61" s="708">
        <f t="shared" ca="1" si="8"/>
        <v>10131.71288969958</v>
      </c>
      <c r="H61" s="708">
        <f t="shared" si="8"/>
        <v>12264.535399384444</v>
      </c>
      <c r="I61" s="708">
        <f t="shared" si="8"/>
        <v>2211.6167297863285</v>
      </c>
      <c r="J61" s="708">
        <f t="shared" si="8"/>
        <v>0</v>
      </c>
      <c r="K61" s="708">
        <f t="shared" si="8"/>
        <v>284.36473772012403</v>
      </c>
      <c r="L61" s="708">
        <f t="shared" si="8"/>
        <v>0</v>
      </c>
      <c r="M61" s="708">
        <f t="shared" ca="1" si="8"/>
        <v>0</v>
      </c>
      <c r="N61" s="708">
        <f t="shared" si="8"/>
        <v>0</v>
      </c>
      <c r="O61" s="708">
        <f t="shared" ca="1" si="8"/>
        <v>0</v>
      </c>
      <c r="P61" s="708">
        <f t="shared" si="8"/>
        <v>0</v>
      </c>
      <c r="Q61" s="708">
        <f t="shared" si="8"/>
        <v>0</v>
      </c>
      <c r="R61" s="708">
        <f ca="1">R46+R52+R56</f>
        <v>32709.019431345398</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9.084829380125875E-2</v>
      </c>
      <c r="D63" s="749">
        <f t="shared" ca="1" si="9"/>
        <v>2.2418289773042566E-4</v>
      </c>
      <c r="E63" s="983">
        <f t="shared" ca="1" si="9"/>
        <v>0.20200000000000001</v>
      </c>
      <c r="F63" s="749">
        <f t="shared" si="9"/>
        <v>0.22700000000000001</v>
      </c>
      <c r="G63" s="749">
        <f t="shared" ca="1" si="9"/>
        <v>0.26700000000000007</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3529.1593248702447</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11113.505660377359</v>
      </c>
      <c r="C76" s="718">
        <f>'lokale energieproductie'!B8*IFERROR(SUM(D76:H76)/SUM(D76:O76),0)</f>
        <v>10.494339622641508</v>
      </c>
      <c r="D76" s="993">
        <f>'lokale energieproductie'!C8</f>
        <v>12.345596803728982</v>
      </c>
      <c r="E76" s="994">
        <f>'lokale energieproductie'!D8</f>
        <v>0</v>
      </c>
      <c r="F76" s="994">
        <f>'lokale energieproductie'!E8</f>
        <v>0</v>
      </c>
      <c r="G76" s="994">
        <f>'lokale energieproductie'!F8</f>
        <v>0</v>
      </c>
      <c r="H76" s="994">
        <f>'lokale energieproductie'!G8</f>
        <v>0</v>
      </c>
      <c r="I76" s="994">
        <f>'lokale energieproductie'!I8</f>
        <v>0</v>
      </c>
      <c r="J76" s="994">
        <f>'lokale energieproductie'!J8</f>
        <v>13073.987015148994</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2.4938105543532547</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14642.664985247604</v>
      </c>
      <c r="C78" s="723">
        <f>SUM(C72:C77)</f>
        <v>10.494339622641508</v>
      </c>
      <c r="D78" s="724">
        <f t="shared" ref="D78:H78" si="10">SUM(D76:D77)</f>
        <v>12.345596803728982</v>
      </c>
      <c r="E78" s="724">
        <f t="shared" si="10"/>
        <v>0</v>
      </c>
      <c r="F78" s="724">
        <f t="shared" si="10"/>
        <v>0</v>
      </c>
      <c r="G78" s="724">
        <f t="shared" si="10"/>
        <v>0</v>
      </c>
      <c r="H78" s="724">
        <f t="shared" si="10"/>
        <v>0</v>
      </c>
      <c r="I78" s="724">
        <f>SUM(I76:I77)</f>
        <v>0</v>
      </c>
      <c r="J78" s="724">
        <f>SUM(J76:J77)</f>
        <v>13073.987015148994</v>
      </c>
      <c r="K78" s="724">
        <f t="shared" ref="K78:L78" si="11">SUM(K76:K77)</f>
        <v>0</v>
      </c>
      <c r="L78" s="724">
        <f t="shared" si="11"/>
        <v>0</v>
      </c>
      <c r="M78" s="724">
        <f>SUM(M76:M77)</f>
        <v>0</v>
      </c>
      <c r="N78" s="724">
        <f>SUM(N76:N77)</f>
        <v>0</v>
      </c>
      <c r="O78" s="828">
        <f>SUM(O76:O77)</f>
        <v>0</v>
      </c>
      <c r="P78" s="725">
        <v>0</v>
      </c>
      <c r="Q78" s="725">
        <f>SUM(Q76:Q77)</f>
        <v>2.4938105543532547</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15892.492924528302</v>
      </c>
      <c r="C87" s="734">
        <f>'lokale energieproductie'!B17*IFERROR(SUM(D87:H87)/SUM(D87:O87),0)</f>
        <v>15.007075471698114</v>
      </c>
      <c r="D87" s="745">
        <f>'lokale energieproductie'!C17</f>
        <v>17.654403196271019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18696.012984851011</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3.5661894456467462</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15892.492924528302</v>
      </c>
      <c r="C90" s="723">
        <f>SUM(C87:C89)</f>
        <v>15.007075471698114</v>
      </c>
      <c r="D90" s="723">
        <f t="shared" ref="D90:H90" si="12">SUM(D87:D89)</f>
        <v>17.654403196271019</v>
      </c>
      <c r="E90" s="723">
        <f t="shared" si="12"/>
        <v>0</v>
      </c>
      <c r="F90" s="723">
        <f t="shared" si="12"/>
        <v>0</v>
      </c>
      <c r="G90" s="723">
        <f t="shared" si="12"/>
        <v>0</v>
      </c>
      <c r="H90" s="723">
        <f t="shared" si="12"/>
        <v>0</v>
      </c>
      <c r="I90" s="723">
        <f>SUM(I87:I89)</f>
        <v>0</v>
      </c>
      <c r="J90" s="723">
        <f>SUM(J87:J89)</f>
        <v>18696.012984851011</v>
      </c>
      <c r="K90" s="723">
        <f t="shared" ref="K90:L90" si="13">SUM(K87:K89)</f>
        <v>0</v>
      </c>
      <c r="L90" s="723">
        <f t="shared" si="13"/>
        <v>0</v>
      </c>
      <c r="M90" s="723">
        <f>SUM(M87:M89)</f>
        <v>0</v>
      </c>
      <c r="N90" s="723">
        <f>SUM(N87:N89)</f>
        <v>0</v>
      </c>
      <c r="O90" s="723">
        <f>SUM(O87:O89)</f>
        <v>0</v>
      </c>
      <c r="P90" s="723">
        <v>0</v>
      </c>
      <c r="Q90" s="723">
        <f>SUM(Q87:Q89)</f>
        <v>3.5661894456467462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14363.363166360446</v>
      </c>
      <c r="C4" s="445">
        <f>huishoudens!C8</f>
        <v>0</v>
      </c>
      <c r="D4" s="445">
        <f>huishoudens!D8</f>
        <v>19541.227464</v>
      </c>
      <c r="E4" s="445">
        <f>huishoudens!E8</f>
        <v>1059.8486958243386</v>
      </c>
      <c r="F4" s="445">
        <f>huishoudens!F8</f>
        <v>28815.188205009617</v>
      </c>
      <c r="G4" s="445">
        <f>huishoudens!G8</f>
        <v>0</v>
      </c>
      <c r="H4" s="445">
        <f>huishoudens!H8</f>
        <v>0</v>
      </c>
      <c r="I4" s="445">
        <f>huishoudens!I8</f>
        <v>0</v>
      </c>
      <c r="J4" s="445">
        <f>huishoudens!J8</f>
        <v>531.40353802049572</v>
      </c>
      <c r="K4" s="445">
        <f>huishoudens!K8</f>
        <v>0</v>
      </c>
      <c r="L4" s="445">
        <f>huishoudens!L8</f>
        <v>0</v>
      </c>
      <c r="M4" s="445">
        <f>huishoudens!M8</f>
        <v>0</v>
      </c>
      <c r="N4" s="445">
        <f>huishoudens!N8</f>
        <v>4709.9079276673001</v>
      </c>
      <c r="O4" s="445">
        <f>huishoudens!O8</f>
        <v>150.08000000000001</v>
      </c>
      <c r="P4" s="446">
        <f>huishoudens!P8</f>
        <v>648.26666666666665</v>
      </c>
      <c r="Q4" s="447">
        <f>SUM(B4:P4)</f>
        <v>69819.285663548857</v>
      </c>
    </row>
    <row r="5" spans="1:17">
      <c r="A5" s="444" t="s">
        <v>155</v>
      </c>
      <c r="B5" s="445">
        <f ca="1">tertiair!B16</f>
        <v>6845.3949999999995</v>
      </c>
      <c r="C5" s="445">
        <f ca="1">tertiair!C16</f>
        <v>0</v>
      </c>
      <c r="D5" s="445">
        <f ca="1">tertiair!D16</f>
        <v>5174.0911860000006</v>
      </c>
      <c r="E5" s="445">
        <f>tertiair!E16</f>
        <v>119.94525190254514</v>
      </c>
      <c r="F5" s="445">
        <f ca="1">tertiair!F16</f>
        <v>1662.702122984</v>
      </c>
      <c r="G5" s="445">
        <f>tertiair!G16</f>
        <v>0</v>
      </c>
      <c r="H5" s="445">
        <f>tertiair!H16</f>
        <v>0</v>
      </c>
      <c r="I5" s="445">
        <f>tertiair!I16</f>
        <v>0</v>
      </c>
      <c r="J5" s="445">
        <f>tertiair!J16</f>
        <v>0</v>
      </c>
      <c r="K5" s="445">
        <f>tertiair!K16</f>
        <v>0</v>
      </c>
      <c r="L5" s="445">
        <f ca="1">tertiair!L16</f>
        <v>0</v>
      </c>
      <c r="M5" s="445">
        <f>tertiair!M16</f>
        <v>0</v>
      </c>
      <c r="N5" s="445">
        <f ca="1">tertiair!N16</f>
        <v>1081.2636926130519</v>
      </c>
      <c r="O5" s="445">
        <f>tertiair!O16</f>
        <v>0</v>
      </c>
      <c r="P5" s="446">
        <f>tertiair!P16</f>
        <v>0</v>
      </c>
      <c r="Q5" s="444">
        <f t="shared" ref="Q5:Q14" ca="1" si="0">SUM(B5:P5)</f>
        <v>14883.397253499597</v>
      </c>
    </row>
    <row r="6" spans="1:17">
      <c r="A6" s="444" t="s">
        <v>193</v>
      </c>
      <c r="B6" s="445">
        <f>'openbare verlichting'!B8</f>
        <v>455.05700000000002</v>
      </c>
      <c r="C6" s="445"/>
      <c r="D6" s="445"/>
      <c r="E6" s="445"/>
      <c r="F6" s="445"/>
      <c r="G6" s="445"/>
      <c r="H6" s="445"/>
      <c r="I6" s="445"/>
      <c r="J6" s="445"/>
      <c r="K6" s="445"/>
      <c r="L6" s="445"/>
      <c r="M6" s="445"/>
      <c r="N6" s="445"/>
      <c r="O6" s="445"/>
      <c r="P6" s="446"/>
      <c r="Q6" s="444">
        <f t="shared" si="0"/>
        <v>455.05700000000002</v>
      </c>
    </row>
    <row r="7" spans="1:17">
      <c r="A7" s="444" t="s">
        <v>111</v>
      </c>
      <c r="B7" s="445">
        <f>landbouw!B8</f>
        <v>1882.191</v>
      </c>
      <c r="C7" s="445">
        <f>landbouw!C8</f>
        <v>15907.5</v>
      </c>
      <c r="D7" s="445">
        <f>landbouw!D8</f>
        <v>93.004838000000007</v>
      </c>
      <c r="E7" s="445">
        <f>landbouw!E8</f>
        <v>48.534479112082181</v>
      </c>
      <c r="F7" s="445">
        <f>landbouw!F8</f>
        <v>6879.7665508636746</v>
      </c>
      <c r="G7" s="445">
        <f>landbouw!G8</f>
        <v>0</v>
      </c>
      <c r="H7" s="445">
        <f>landbouw!H8</f>
        <v>0</v>
      </c>
      <c r="I7" s="445">
        <f>landbouw!I8</f>
        <v>0</v>
      </c>
      <c r="J7" s="445">
        <f>landbouw!J8</f>
        <v>270.96626448513507</v>
      </c>
      <c r="K7" s="445">
        <f>landbouw!K8</f>
        <v>0</v>
      </c>
      <c r="L7" s="445">
        <f>landbouw!L8</f>
        <v>0</v>
      </c>
      <c r="M7" s="445">
        <f>landbouw!M8</f>
        <v>0</v>
      </c>
      <c r="N7" s="445">
        <f>landbouw!N8</f>
        <v>0</v>
      </c>
      <c r="O7" s="445">
        <f>landbouw!O8</f>
        <v>0</v>
      </c>
      <c r="P7" s="446">
        <f>landbouw!P8</f>
        <v>0</v>
      </c>
      <c r="Q7" s="444">
        <f t="shared" si="0"/>
        <v>25081.963132460889</v>
      </c>
    </row>
    <row r="8" spans="1:17">
      <c r="A8" s="444" t="s">
        <v>631</v>
      </c>
      <c r="B8" s="445">
        <f>industrie!B18</f>
        <v>997.47</v>
      </c>
      <c r="C8" s="445">
        <f>industrie!C18</f>
        <v>0</v>
      </c>
      <c r="D8" s="445">
        <f>industrie!D18</f>
        <v>519.60431600000004</v>
      </c>
      <c r="E8" s="445">
        <f>industrie!E18</f>
        <v>142.43520522328052</v>
      </c>
      <c r="F8" s="445">
        <f>industrie!F18</f>
        <v>588.83334473663604</v>
      </c>
      <c r="G8" s="445">
        <f>industrie!G18</f>
        <v>0</v>
      </c>
      <c r="H8" s="445">
        <f>industrie!H18</f>
        <v>0</v>
      </c>
      <c r="I8" s="445">
        <f>industrie!I18</f>
        <v>0</v>
      </c>
      <c r="J8" s="445">
        <f>industrie!J18</f>
        <v>0.92041704274227532</v>
      </c>
      <c r="K8" s="445">
        <f>industrie!K18</f>
        <v>0</v>
      </c>
      <c r="L8" s="445">
        <f>industrie!L18</f>
        <v>0</v>
      </c>
      <c r="M8" s="445">
        <f>industrie!M18</f>
        <v>0</v>
      </c>
      <c r="N8" s="445">
        <f>industrie!N18</f>
        <v>105.7796277469906</v>
      </c>
      <c r="O8" s="445">
        <f>industrie!O18</f>
        <v>0</v>
      </c>
      <c r="P8" s="446">
        <f>industrie!P18</f>
        <v>0</v>
      </c>
      <c r="Q8" s="444">
        <f t="shared" si="0"/>
        <v>2355.0429107496498</v>
      </c>
    </row>
    <row r="9" spans="1:17" s="450" customFormat="1">
      <c r="A9" s="448" t="s">
        <v>557</v>
      </c>
      <c r="B9" s="449">
        <f>transport!B14</f>
        <v>16.205595491958224</v>
      </c>
      <c r="C9" s="449">
        <f>transport!C14</f>
        <v>0</v>
      </c>
      <c r="D9" s="449">
        <f>transport!D14</f>
        <v>27.500831024592607</v>
      </c>
      <c r="E9" s="449">
        <f>transport!E14</f>
        <v>125.04203745287408</v>
      </c>
      <c r="F9" s="449">
        <f>transport!F14</f>
        <v>0</v>
      </c>
      <c r="G9" s="449">
        <f>transport!G14</f>
        <v>45041.563028499251</v>
      </c>
      <c r="H9" s="449">
        <f>transport!H14</f>
        <v>8881.9948987402749</v>
      </c>
      <c r="I9" s="449">
        <f>transport!I14</f>
        <v>0</v>
      </c>
      <c r="J9" s="449">
        <f>transport!J14</f>
        <v>0</v>
      </c>
      <c r="K9" s="449">
        <f>transport!K14</f>
        <v>0</v>
      </c>
      <c r="L9" s="449">
        <f>transport!L14</f>
        <v>0</v>
      </c>
      <c r="M9" s="449">
        <f>transport!M14</f>
        <v>1683.1985827117842</v>
      </c>
      <c r="N9" s="449">
        <f>transport!N14</f>
        <v>0</v>
      </c>
      <c r="O9" s="449">
        <f>transport!O14</f>
        <v>0</v>
      </c>
      <c r="P9" s="449">
        <f>transport!P14</f>
        <v>0</v>
      </c>
      <c r="Q9" s="448">
        <f>SUM(B9:P9)</f>
        <v>55775.504973920732</v>
      </c>
    </row>
    <row r="10" spans="1:17">
      <c r="A10" s="444" t="s">
        <v>547</v>
      </c>
      <c r="B10" s="445">
        <f>transport!B54</f>
        <v>5.0085019319805539</v>
      </c>
      <c r="C10" s="445">
        <f>transport!C54</f>
        <v>0</v>
      </c>
      <c r="D10" s="445">
        <f>transport!D54</f>
        <v>0</v>
      </c>
      <c r="E10" s="445">
        <f>transport!E54</f>
        <v>0</v>
      </c>
      <c r="F10" s="445">
        <f>transport!F54</f>
        <v>0</v>
      </c>
      <c r="G10" s="445">
        <f>transport!G54</f>
        <v>893.02648230390594</v>
      </c>
      <c r="H10" s="445">
        <f>transport!H54</f>
        <v>0</v>
      </c>
      <c r="I10" s="445">
        <f>transport!I54</f>
        <v>0</v>
      </c>
      <c r="J10" s="445">
        <f>transport!J54</f>
        <v>0</v>
      </c>
      <c r="K10" s="445">
        <f>transport!K54</f>
        <v>0</v>
      </c>
      <c r="L10" s="445">
        <f>transport!L54</f>
        <v>0</v>
      </c>
      <c r="M10" s="445">
        <f>transport!M54</f>
        <v>27.876826619009126</v>
      </c>
      <c r="N10" s="445">
        <f>transport!N54</f>
        <v>0</v>
      </c>
      <c r="O10" s="445">
        <f>transport!O54</f>
        <v>0</v>
      </c>
      <c r="P10" s="446">
        <f>transport!P54</f>
        <v>0</v>
      </c>
      <c r="Q10" s="444">
        <f t="shared" si="0"/>
        <v>925.91181085489552</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297.48399999999998</v>
      </c>
      <c r="C14" s="452"/>
      <c r="D14" s="452">
        <f>'SEAP template'!E25</f>
        <v>461.351</v>
      </c>
      <c r="E14" s="452"/>
      <c r="F14" s="452"/>
      <c r="G14" s="452"/>
      <c r="H14" s="452"/>
      <c r="I14" s="452"/>
      <c r="J14" s="452"/>
      <c r="K14" s="452"/>
      <c r="L14" s="452"/>
      <c r="M14" s="452"/>
      <c r="N14" s="452"/>
      <c r="O14" s="452"/>
      <c r="P14" s="453"/>
      <c r="Q14" s="444">
        <f t="shared" si="0"/>
        <v>758.83500000000004</v>
      </c>
    </row>
    <row r="15" spans="1:17" s="454" customFormat="1">
      <c r="A15" s="998" t="s">
        <v>551</v>
      </c>
      <c r="B15" s="938">
        <f ca="1">SUM(B4:B14)</f>
        <v>24862.174263784389</v>
      </c>
      <c r="C15" s="938">
        <f t="shared" ref="C15:Q15" ca="1" si="1">SUM(C4:C14)</f>
        <v>15907.5</v>
      </c>
      <c r="D15" s="938">
        <f t="shared" ca="1" si="1"/>
        <v>25816.779635024595</v>
      </c>
      <c r="E15" s="938">
        <f t="shared" si="1"/>
        <v>1495.8056695151206</v>
      </c>
      <c r="F15" s="938">
        <f t="shared" ca="1" si="1"/>
        <v>37946.49022359393</v>
      </c>
      <c r="G15" s="938">
        <f t="shared" si="1"/>
        <v>45934.589510803155</v>
      </c>
      <c r="H15" s="938">
        <f t="shared" si="1"/>
        <v>8881.9948987402749</v>
      </c>
      <c r="I15" s="938">
        <f t="shared" si="1"/>
        <v>0</v>
      </c>
      <c r="J15" s="938">
        <f t="shared" si="1"/>
        <v>803.2902195483731</v>
      </c>
      <c r="K15" s="938">
        <f t="shared" si="1"/>
        <v>0</v>
      </c>
      <c r="L15" s="938">
        <f t="shared" ca="1" si="1"/>
        <v>0</v>
      </c>
      <c r="M15" s="938">
        <f t="shared" si="1"/>
        <v>1711.0754093307933</v>
      </c>
      <c r="N15" s="938">
        <f t="shared" ca="1" si="1"/>
        <v>5896.9512480273424</v>
      </c>
      <c r="O15" s="938">
        <f t="shared" si="1"/>
        <v>150.08000000000001</v>
      </c>
      <c r="P15" s="938">
        <f t="shared" si="1"/>
        <v>648.26666666666665</v>
      </c>
      <c r="Q15" s="938">
        <f t="shared" ca="1" si="1"/>
        <v>170054.99774503461</v>
      </c>
    </row>
    <row r="17" spans="1:17">
      <c r="A17" s="455" t="s">
        <v>552</v>
      </c>
      <c r="B17" s="754">
        <f ca="1">huishoudens!B10</f>
        <v>9.084829380125875E-2</v>
      </c>
      <c r="C17" s="754">
        <f ca="1">huishoudens!C10</f>
        <v>2.2418289773042566E-4</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1304.8870369116921</v>
      </c>
      <c r="C22" s="445">
        <f t="shared" ref="C22:C32" ca="1" si="3">C4*$C$17</f>
        <v>0</v>
      </c>
      <c r="D22" s="445">
        <f t="shared" ref="D22:D32" si="4">D4*$D$17</f>
        <v>3947.3279477280003</v>
      </c>
      <c r="E22" s="445">
        <f t="shared" ref="E22:E32" si="5">E4*$E$17</f>
        <v>240.58565395212489</v>
      </c>
      <c r="F22" s="445">
        <f t="shared" ref="F22:F32" si="6">F4*$F$17</f>
        <v>7693.6552507375682</v>
      </c>
      <c r="G22" s="445">
        <f t="shared" ref="G22:G32" si="7">G4*$G$17</f>
        <v>0</v>
      </c>
      <c r="H22" s="445">
        <f t="shared" ref="H22:H32" si="8">H4*$H$17</f>
        <v>0</v>
      </c>
      <c r="I22" s="445">
        <f t="shared" ref="I22:I32" si="9">I4*$I$17</f>
        <v>0</v>
      </c>
      <c r="J22" s="445">
        <f t="shared" ref="J22:J32" si="10">J4*$J$17</f>
        <v>188.11685245925548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13374.572741788641</v>
      </c>
    </row>
    <row r="23" spans="1:17">
      <c r="A23" s="444" t="s">
        <v>155</v>
      </c>
      <c r="B23" s="445">
        <f t="shared" ca="1" si="2"/>
        <v>621.89245614566755</v>
      </c>
      <c r="C23" s="445">
        <f t="shared" ca="1" si="3"/>
        <v>0</v>
      </c>
      <c r="D23" s="445">
        <f t="shared" ca="1" si="4"/>
        <v>1045.1664195720002</v>
      </c>
      <c r="E23" s="445">
        <f t="shared" si="5"/>
        <v>27.227572181877747</v>
      </c>
      <c r="F23" s="445">
        <f t="shared" ca="1" si="6"/>
        <v>443.94146683672801</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2138.2279147362738</v>
      </c>
    </row>
    <row r="24" spans="1:17">
      <c r="A24" s="444" t="s">
        <v>193</v>
      </c>
      <c r="B24" s="445">
        <f t="shared" ca="1" si="2"/>
        <v>41.341152032319407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41.341152032319407</v>
      </c>
    </row>
    <row r="25" spans="1:17">
      <c r="A25" s="444" t="s">
        <v>111</v>
      </c>
      <c r="B25" s="445">
        <f t="shared" ca="1" si="2"/>
        <v>170.993840958085</v>
      </c>
      <c r="C25" s="445">
        <f t="shared" ca="1" si="3"/>
        <v>3.5661894456467462</v>
      </c>
      <c r="D25" s="445">
        <f t="shared" si="4"/>
        <v>18.786977276000002</v>
      </c>
      <c r="E25" s="445">
        <f t="shared" si="5"/>
        <v>11.017326758442655</v>
      </c>
      <c r="F25" s="445">
        <f t="shared" si="6"/>
        <v>1836.8976690806012</v>
      </c>
      <c r="G25" s="445">
        <f t="shared" si="7"/>
        <v>0</v>
      </c>
      <c r="H25" s="445">
        <f t="shared" si="8"/>
        <v>0</v>
      </c>
      <c r="I25" s="445">
        <f t="shared" si="9"/>
        <v>0</v>
      </c>
      <c r="J25" s="445">
        <f t="shared" si="10"/>
        <v>95.922057627737814</v>
      </c>
      <c r="K25" s="445">
        <f t="shared" si="11"/>
        <v>0</v>
      </c>
      <c r="L25" s="445">
        <f t="shared" si="12"/>
        <v>0</v>
      </c>
      <c r="M25" s="445">
        <f t="shared" si="13"/>
        <v>0</v>
      </c>
      <c r="N25" s="445">
        <f t="shared" si="14"/>
        <v>0</v>
      </c>
      <c r="O25" s="445">
        <f t="shared" si="15"/>
        <v>0</v>
      </c>
      <c r="P25" s="446">
        <f t="shared" si="16"/>
        <v>0</v>
      </c>
      <c r="Q25" s="444">
        <f t="shared" ca="1" si="17"/>
        <v>2137.1840611465136</v>
      </c>
    </row>
    <row r="26" spans="1:17">
      <c r="A26" s="444" t="s">
        <v>631</v>
      </c>
      <c r="B26" s="445">
        <f t="shared" ca="1" si="2"/>
        <v>90.61844761794157</v>
      </c>
      <c r="C26" s="445">
        <f t="shared" ca="1" si="3"/>
        <v>0</v>
      </c>
      <c r="D26" s="445">
        <f t="shared" si="4"/>
        <v>104.96007183200001</v>
      </c>
      <c r="E26" s="445">
        <f t="shared" si="5"/>
        <v>32.332791585684681</v>
      </c>
      <c r="F26" s="445">
        <f t="shared" si="6"/>
        <v>157.21850304468182</v>
      </c>
      <c r="G26" s="445">
        <f t="shared" si="7"/>
        <v>0</v>
      </c>
      <c r="H26" s="445">
        <f t="shared" si="8"/>
        <v>0</v>
      </c>
      <c r="I26" s="445">
        <f t="shared" si="9"/>
        <v>0</v>
      </c>
      <c r="J26" s="445">
        <f t="shared" si="10"/>
        <v>0.32582763313076546</v>
      </c>
      <c r="K26" s="445">
        <f t="shared" si="11"/>
        <v>0</v>
      </c>
      <c r="L26" s="445">
        <f t="shared" si="12"/>
        <v>0</v>
      </c>
      <c r="M26" s="445">
        <f t="shared" si="13"/>
        <v>0</v>
      </c>
      <c r="N26" s="445">
        <f t="shared" si="14"/>
        <v>0</v>
      </c>
      <c r="O26" s="445">
        <f t="shared" si="15"/>
        <v>0</v>
      </c>
      <c r="P26" s="446">
        <f t="shared" si="16"/>
        <v>0</v>
      </c>
      <c r="Q26" s="444">
        <f t="shared" ca="1" si="17"/>
        <v>385.45564171343881</v>
      </c>
    </row>
    <row r="27" spans="1:17" s="450" customFormat="1">
      <c r="A27" s="448" t="s">
        <v>557</v>
      </c>
      <c r="B27" s="748">
        <f t="shared" ca="1" si="2"/>
        <v>1.4722507004777752</v>
      </c>
      <c r="C27" s="449">
        <f t="shared" ca="1" si="3"/>
        <v>0</v>
      </c>
      <c r="D27" s="449">
        <f t="shared" si="4"/>
        <v>5.5551678669677074</v>
      </c>
      <c r="E27" s="449">
        <f t="shared" si="5"/>
        <v>28.384542501802418</v>
      </c>
      <c r="F27" s="449">
        <f t="shared" si="6"/>
        <v>0</v>
      </c>
      <c r="G27" s="449">
        <f t="shared" si="7"/>
        <v>12026.097328609301</v>
      </c>
      <c r="H27" s="449">
        <f t="shared" si="8"/>
        <v>2211.6167297863285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14273.126019464878</v>
      </c>
    </row>
    <row r="28" spans="1:17">
      <c r="A28" s="444" t="s">
        <v>547</v>
      </c>
      <c r="B28" s="445">
        <f t="shared" ca="1" si="2"/>
        <v>0.45501385502074143</v>
      </c>
      <c r="C28" s="445">
        <f t="shared" ca="1" si="3"/>
        <v>0</v>
      </c>
      <c r="D28" s="445">
        <f t="shared" si="4"/>
        <v>0</v>
      </c>
      <c r="E28" s="445">
        <f t="shared" si="5"/>
        <v>0</v>
      </c>
      <c r="F28" s="445">
        <f t="shared" si="6"/>
        <v>0</v>
      </c>
      <c r="G28" s="445">
        <f t="shared" si="7"/>
        <v>238.4380707751429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238.89308463016366</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27.025913833173657</v>
      </c>
      <c r="C32" s="445">
        <f t="shared" ca="1" si="3"/>
        <v>0</v>
      </c>
      <c r="D32" s="445">
        <f t="shared" si="4"/>
        <v>93.192902000000004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120.21881583317366</v>
      </c>
    </row>
    <row r="33" spans="1:17" s="454" customFormat="1">
      <c r="A33" s="998" t="s">
        <v>551</v>
      </c>
      <c r="B33" s="938">
        <f ca="1">SUM(B22:B32)</f>
        <v>2258.6861120543772</v>
      </c>
      <c r="C33" s="938">
        <f t="shared" ref="C33:Q33" ca="1" si="18">SUM(C22:C32)</f>
        <v>3.5661894456467462</v>
      </c>
      <c r="D33" s="938">
        <f t="shared" ca="1" si="18"/>
        <v>5214.9894862749679</v>
      </c>
      <c r="E33" s="938">
        <f t="shared" si="18"/>
        <v>339.5478869799324</v>
      </c>
      <c r="F33" s="938">
        <f t="shared" ca="1" si="18"/>
        <v>10131.712889699578</v>
      </c>
      <c r="G33" s="938">
        <f t="shared" si="18"/>
        <v>12264.535399384444</v>
      </c>
      <c r="H33" s="938">
        <f t="shared" si="18"/>
        <v>2211.6167297863285</v>
      </c>
      <c r="I33" s="938">
        <f t="shared" si="18"/>
        <v>0</v>
      </c>
      <c r="J33" s="938">
        <f t="shared" si="18"/>
        <v>284.36473772012403</v>
      </c>
      <c r="K33" s="938">
        <f t="shared" si="18"/>
        <v>0</v>
      </c>
      <c r="L33" s="938">
        <f t="shared" ca="1" si="18"/>
        <v>0</v>
      </c>
      <c r="M33" s="938">
        <f t="shared" si="18"/>
        <v>0</v>
      </c>
      <c r="N33" s="938">
        <f t="shared" ca="1" si="18"/>
        <v>0</v>
      </c>
      <c r="O33" s="938">
        <f t="shared" si="18"/>
        <v>0</v>
      </c>
      <c r="P33" s="938">
        <f t="shared" si="18"/>
        <v>0</v>
      </c>
      <c r="Q33" s="938">
        <f t="shared" ca="1" si="18"/>
        <v>32709.019431345398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3529.1593248702447</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11113.505660377359</v>
      </c>
      <c r="C8" s="1015">
        <f>'SEAP template'!C76</f>
        <v>10.494339622641508</v>
      </c>
      <c r="D8" s="1015">
        <f>'SEAP template'!D76</f>
        <v>12.345596803728982</v>
      </c>
      <c r="E8" s="1015">
        <f>'SEAP template'!E76</f>
        <v>0</v>
      </c>
      <c r="F8" s="1015">
        <f>'SEAP template'!F76</f>
        <v>0</v>
      </c>
      <c r="G8" s="1015">
        <f>'SEAP template'!G76</f>
        <v>0</v>
      </c>
      <c r="H8" s="1015">
        <f>'SEAP template'!H76</f>
        <v>0</v>
      </c>
      <c r="I8" s="1015">
        <f>'SEAP template'!I76</f>
        <v>0</v>
      </c>
      <c r="J8" s="1015">
        <f>'SEAP template'!J76</f>
        <v>13073.987015148994</v>
      </c>
      <c r="K8" s="1015">
        <f>'SEAP template'!K76</f>
        <v>0</v>
      </c>
      <c r="L8" s="1015">
        <f>'SEAP template'!L76</f>
        <v>0</v>
      </c>
      <c r="M8" s="1015">
        <f>'SEAP template'!M76</f>
        <v>0</v>
      </c>
      <c r="N8" s="1015">
        <f>'SEAP template'!N76</f>
        <v>0</v>
      </c>
      <c r="O8" s="1015">
        <f>'SEAP template'!O76</f>
        <v>0</v>
      </c>
      <c r="P8" s="1016">
        <f>'SEAP template'!Q76</f>
        <v>2.4938105543532547</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14642.664985247604</v>
      </c>
      <c r="C10" s="1019">
        <f>SUM(C4:C9)</f>
        <v>10.494339622641508</v>
      </c>
      <c r="D10" s="1019">
        <f t="shared" ref="D10:H10" si="0">SUM(D8:D9)</f>
        <v>12.345596803728982</v>
      </c>
      <c r="E10" s="1019">
        <f t="shared" si="0"/>
        <v>0</v>
      </c>
      <c r="F10" s="1019">
        <f t="shared" si="0"/>
        <v>0</v>
      </c>
      <c r="G10" s="1019">
        <f t="shared" si="0"/>
        <v>0</v>
      </c>
      <c r="H10" s="1019">
        <f t="shared" si="0"/>
        <v>0</v>
      </c>
      <c r="I10" s="1019">
        <f>SUM(I8:I9)</f>
        <v>0</v>
      </c>
      <c r="J10" s="1019">
        <f>SUM(J8:J9)</f>
        <v>13073.987015148994</v>
      </c>
      <c r="K10" s="1019">
        <f t="shared" ref="K10:L10" si="1">SUM(K8:K9)</f>
        <v>0</v>
      </c>
      <c r="L10" s="1019">
        <f t="shared" si="1"/>
        <v>0</v>
      </c>
      <c r="M10" s="1019">
        <f>SUM(M8:M9)</f>
        <v>0</v>
      </c>
      <c r="N10" s="1019">
        <f>SUM(N8:N9)</f>
        <v>0</v>
      </c>
      <c r="O10" s="1019">
        <f>SUM(O8:O9)</f>
        <v>0</v>
      </c>
      <c r="P10" s="1019">
        <f>SUM(P8:P9)</f>
        <v>2.4938105543532547</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9.084829380125875E-2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15892.492924528302</v>
      </c>
      <c r="C17" s="1021">
        <f>'SEAP template'!C87</f>
        <v>15.007075471698114</v>
      </c>
      <c r="D17" s="1016">
        <f>'SEAP template'!D87</f>
        <v>17.654403196271019</v>
      </c>
      <c r="E17" s="1016">
        <f>'SEAP template'!E87</f>
        <v>0</v>
      </c>
      <c r="F17" s="1016">
        <f>'SEAP template'!F87</f>
        <v>0</v>
      </c>
      <c r="G17" s="1016">
        <f>'SEAP template'!G87</f>
        <v>0</v>
      </c>
      <c r="H17" s="1016">
        <f>'SEAP template'!H87</f>
        <v>0</v>
      </c>
      <c r="I17" s="1016">
        <f>'SEAP template'!I87</f>
        <v>0</v>
      </c>
      <c r="J17" s="1016">
        <f>'SEAP template'!J87</f>
        <v>18696.012984851011</v>
      </c>
      <c r="K17" s="1016">
        <f>'SEAP template'!K87</f>
        <v>0</v>
      </c>
      <c r="L17" s="1016">
        <f>'SEAP template'!L87</f>
        <v>0</v>
      </c>
      <c r="M17" s="1016">
        <f>'SEAP template'!M87</f>
        <v>0</v>
      </c>
      <c r="N17" s="1016">
        <f>'SEAP template'!N87</f>
        <v>0</v>
      </c>
      <c r="O17" s="1016">
        <f>'SEAP template'!O87</f>
        <v>0</v>
      </c>
      <c r="P17" s="1016">
        <f>'SEAP template'!Q87</f>
        <v>3.5661894456467462</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15892.492924528302</v>
      </c>
      <c r="C20" s="1019">
        <f>SUM(C17:C19)</f>
        <v>15.007075471698114</v>
      </c>
      <c r="D20" s="1019">
        <f t="shared" ref="D20:H20" si="2">SUM(D17:D19)</f>
        <v>17.654403196271019</v>
      </c>
      <c r="E20" s="1019">
        <f t="shared" si="2"/>
        <v>0</v>
      </c>
      <c r="F20" s="1019">
        <f t="shared" si="2"/>
        <v>0</v>
      </c>
      <c r="G20" s="1019">
        <f t="shared" si="2"/>
        <v>0</v>
      </c>
      <c r="H20" s="1019">
        <f t="shared" si="2"/>
        <v>0</v>
      </c>
      <c r="I20" s="1019">
        <f>SUM(I17:I19)</f>
        <v>0</v>
      </c>
      <c r="J20" s="1019">
        <f>SUM(J17:J19)</f>
        <v>18696.012984851011</v>
      </c>
      <c r="K20" s="1019">
        <f t="shared" ref="K20:L20" si="3">SUM(K17:K19)</f>
        <v>0</v>
      </c>
      <c r="L20" s="1019">
        <f t="shared" si="3"/>
        <v>0</v>
      </c>
      <c r="M20" s="1019">
        <f>SUM(M17:M19)</f>
        <v>0</v>
      </c>
      <c r="N20" s="1019">
        <f>SUM(N17:N19)</f>
        <v>0</v>
      </c>
      <c r="O20" s="1019">
        <f>SUM(O17:O19)</f>
        <v>0</v>
      </c>
      <c r="P20" s="1019">
        <f>SUM(P17:P19)</f>
        <v>3.5661894456467462</v>
      </c>
    </row>
    <row r="22" spans="1:16">
      <c r="A22" s="455" t="s">
        <v>844</v>
      </c>
      <c r="B22" s="754" t="s">
        <v>838</v>
      </c>
      <c r="C22" s="754">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9.084829380125875E-2</v>
      </c>
      <c r="C17" s="492">
        <f ca="1">'EF ele_warmte'!B22</f>
        <v>2.2418289773042566E-4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9.084829380125875E-2</v>
      </c>
      <c r="C17" s="492">
        <f ca="1">'EF ele_warmte'!B22</f>
        <v>2.2418289773042566E-4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9.084829380125875E-2</v>
      </c>
      <c r="C29" s="493">
        <f ca="1">'EF ele_warmte'!B22</f>
        <v>2.2418289773042566E-4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3384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1991.52</v>
      </c>
      <c r="C14" s="324"/>
      <c r="D14" s="324"/>
      <c r="E14" s="324"/>
      <c r="F14" s="324"/>
    </row>
    <row r="15" spans="1:6">
      <c r="A15" s="1290" t="s">
        <v>183</v>
      </c>
      <c r="B15" s="1291">
        <v>558</v>
      </c>
      <c r="C15" s="324"/>
      <c r="D15" s="324"/>
      <c r="E15" s="324"/>
      <c r="F15" s="324"/>
    </row>
    <row r="16" spans="1:6">
      <c r="A16" s="1290" t="s">
        <v>6</v>
      </c>
      <c r="B16" s="1291">
        <v>650</v>
      </c>
      <c r="C16" s="324"/>
      <c r="D16" s="324"/>
      <c r="E16" s="324"/>
      <c r="F16" s="324"/>
    </row>
    <row r="17" spans="1:6">
      <c r="A17" s="1290" t="s">
        <v>7</v>
      </c>
      <c r="B17" s="1291">
        <v>265</v>
      </c>
      <c r="C17" s="324"/>
      <c r="D17" s="324"/>
      <c r="E17" s="324"/>
      <c r="F17" s="324"/>
    </row>
    <row r="18" spans="1:6">
      <c r="A18" s="1290" t="s">
        <v>8</v>
      </c>
      <c r="B18" s="1291">
        <v>538</v>
      </c>
      <c r="C18" s="324"/>
      <c r="D18" s="324"/>
      <c r="E18" s="324"/>
      <c r="F18" s="324"/>
    </row>
    <row r="19" spans="1:6">
      <c r="A19" s="1290" t="s">
        <v>9</v>
      </c>
      <c r="B19" s="1291">
        <v>539</v>
      </c>
      <c r="C19" s="324"/>
      <c r="D19" s="324"/>
      <c r="E19" s="324"/>
      <c r="F19" s="324"/>
    </row>
    <row r="20" spans="1:6">
      <c r="A20" s="1290" t="s">
        <v>10</v>
      </c>
      <c r="B20" s="1291">
        <v>370</v>
      </c>
      <c r="C20" s="324"/>
      <c r="D20" s="324"/>
      <c r="E20" s="324"/>
      <c r="F20" s="324"/>
    </row>
    <row r="21" spans="1:6">
      <c r="A21" s="1290" t="s">
        <v>11</v>
      </c>
      <c r="B21" s="1291">
        <v>870</v>
      </c>
      <c r="C21" s="324"/>
      <c r="D21" s="324"/>
      <c r="E21" s="324"/>
      <c r="F21" s="324"/>
    </row>
    <row r="22" spans="1:6">
      <c r="A22" s="1290" t="s">
        <v>12</v>
      </c>
      <c r="B22" s="1291">
        <v>2925</v>
      </c>
      <c r="C22" s="324"/>
      <c r="D22" s="324"/>
      <c r="E22" s="324"/>
      <c r="F22" s="324"/>
    </row>
    <row r="23" spans="1:6">
      <c r="A23" s="1290" t="s">
        <v>13</v>
      </c>
      <c r="B23" s="1291">
        <v>50</v>
      </c>
      <c r="C23" s="324"/>
      <c r="D23" s="324"/>
      <c r="E23" s="324"/>
      <c r="F23" s="324"/>
    </row>
    <row r="24" spans="1:6">
      <c r="A24" s="1290" t="s">
        <v>14</v>
      </c>
      <c r="B24" s="1291">
        <v>2</v>
      </c>
      <c r="C24" s="324"/>
      <c r="D24" s="324"/>
      <c r="E24" s="324"/>
      <c r="F24" s="324"/>
    </row>
    <row r="25" spans="1:6">
      <c r="A25" s="1290" t="s">
        <v>15</v>
      </c>
      <c r="B25" s="1291">
        <v>243</v>
      </c>
      <c r="C25" s="324"/>
      <c r="D25" s="324"/>
      <c r="E25" s="324"/>
      <c r="F25" s="324"/>
    </row>
    <row r="26" spans="1:6">
      <c r="A26" s="1290" t="s">
        <v>16</v>
      </c>
      <c r="B26" s="1291">
        <v>77</v>
      </c>
      <c r="C26" s="324"/>
      <c r="D26" s="324"/>
      <c r="E26" s="324"/>
      <c r="F26" s="324"/>
    </row>
    <row r="27" spans="1:6">
      <c r="A27" s="1290" t="s">
        <v>17</v>
      </c>
      <c r="B27" s="1291">
        <v>0</v>
      </c>
      <c r="C27" s="324"/>
      <c r="D27" s="324"/>
      <c r="E27" s="324"/>
      <c r="F27" s="324"/>
    </row>
    <row r="28" spans="1:6" s="43" customFormat="1">
      <c r="A28" s="1292" t="s">
        <v>18</v>
      </c>
      <c r="B28" s="1293">
        <v>64255</v>
      </c>
      <c r="C28" s="330"/>
      <c r="D28" s="330"/>
      <c r="E28" s="330"/>
      <c r="F28" s="330"/>
    </row>
    <row r="29" spans="1:6">
      <c r="A29" s="1292" t="s">
        <v>908</v>
      </c>
      <c r="B29" s="1293">
        <v>104</v>
      </c>
      <c r="C29" s="330"/>
      <c r="D29" s="330"/>
      <c r="E29" s="330"/>
      <c r="F29" s="330"/>
    </row>
    <row r="30" spans="1:6">
      <c r="A30" s="1285" t="s">
        <v>909</v>
      </c>
      <c r="B30" s="1294">
        <v>41</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8834</v>
      </c>
    </row>
    <row r="39" spans="1:6">
      <c r="A39" s="1290" t="s">
        <v>29</v>
      </c>
      <c r="B39" s="1290" t="s">
        <v>30</v>
      </c>
      <c r="C39" s="1291">
        <v>1408</v>
      </c>
      <c r="D39" s="1291">
        <v>21664332</v>
      </c>
      <c r="E39" s="1291">
        <v>3305</v>
      </c>
      <c r="F39" s="1291">
        <v>11726851</v>
      </c>
    </row>
    <row r="40" spans="1:6">
      <c r="A40" s="1290" t="s">
        <v>29</v>
      </c>
      <c r="B40" s="1290" t="s">
        <v>28</v>
      </c>
      <c r="C40" s="1291">
        <v>0</v>
      </c>
      <c r="D40" s="1291">
        <v>0</v>
      </c>
      <c r="E40" s="1291">
        <v>0</v>
      </c>
      <c r="F40" s="1291">
        <v>0</v>
      </c>
    </row>
    <row r="41" spans="1:6">
      <c r="A41" s="1290" t="s">
        <v>31</v>
      </c>
      <c r="B41" s="1290" t="s">
        <v>32</v>
      </c>
      <c r="C41" s="1291">
        <v>15</v>
      </c>
      <c r="D41" s="1291">
        <v>314368</v>
      </c>
      <c r="E41" s="1291">
        <v>63</v>
      </c>
      <c r="F41" s="1291">
        <v>482707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10</v>
      </c>
      <c r="F44" s="1291">
        <v>274365</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5</v>
      </c>
      <c r="D48" s="1291">
        <v>261690</v>
      </c>
      <c r="E48" s="1291">
        <v>4</v>
      </c>
      <c r="F48" s="1291">
        <v>113532</v>
      </c>
    </row>
    <row r="49" spans="1:6">
      <c r="A49" s="1290" t="s">
        <v>31</v>
      </c>
      <c r="B49" s="1290" t="s">
        <v>39</v>
      </c>
      <c r="C49" s="1291">
        <v>0</v>
      </c>
      <c r="D49" s="1291">
        <v>0</v>
      </c>
      <c r="E49" s="1291">
        <v>0</v>
      </c>
      <c r="F49" s="1291">
        <v>0</v>
      </c>
    </row>
    <row r="50" spans="1:6">
      <c r="A50" s="1290" t="s">
        <v>31</v>
      </c>
      <c r="B50" s="1290" t="s">
        <v>40</v>
      </c>
      <c r="C50" s="1291">
        <v>0</v>
      </c>
      <c r="D50" s="1291">
        <v>0</v>
      </c>
      <c r="E50" s="1291">
        <v>8</v>
      </c>
      <c r="F50" s="1291">
        <v>126866</v>
      </c>
    </row>
    <row r="51" spans="1:6">
      <c r="A51" s="1290" t="s">
        <v>41</v>
      </c>
      <c r="B51" s="1290" t="s">
        <v>42</v>
      </c>
      <c r="C51" s="1291">
        <v>6</v>
      </c>
      <c r="D51" s="1291">
        <v>136369</v>
      </c>
      <c r="E51" s="1291">
        <v>62</v>
      </c>
      <c r="F51" s="1291">
        <v>1882191</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52</v>
      </c>
      <c r="F54" s="1291">
        <v>455057</v>
      </c>
    </row>
    <row r="55" spans="1:6">
      <c r="A55" s="1290" t="s">
        <v>45</v>
      </c>
      <c r="B55" s="1290" t="s">
        <v>28</v>
      </c>
      <c r="C55" s="1291">
        <v>0</v>
      </c>
      <c r="D55" s="1291">
        <v>0</v>
      </c>
      <c r="E55" s="1291">
        <v>0</v>
      </c>
      <c r="F55" s="1291">
        <v>0</v>
      </c>
    </row>
    <row r="56" spans="1:6">
      <c r="A56" s="1290" t="s">
        <v>47</v>
      </c>
      <c r="B56" s="1290" t="s">
        <v>28</v>
      </c>
      <c r="C56" s="1291">
        <v>25</v>
      </c>
      <c r="D56" s="1291">
        <v>461351</v>
      </c>
      <c r="E56" s="1291">
        <v>74</v>
      </c>
      <c r="F56" s="1291">
        <v>297484</v>
      </c>
    </row>
    <row r="57" spans="1:6">
      <c r="A57" s="1290" t="s">
        <v>48</v>
      </c>
      <c r="B57" s="1290" t="s">
        <v>49</v>
      </c>
      <c r="C57" s="1291">
        <v>11</v>
      </c>
      <c r="D57" s="1291">
        <v>312997</v>
      </c>
      <c r="E57" s="1291">
        <v>40</v>
      </c>
      <c r="F57" s="1291">
        <v>1359370</v>
      </c>
    </row>
    <row r="58" spans="1:6">
      <c r="A58" s="1290" t="s">
        <v>48</v>
      </c>
      <c r="B58" s="1290" t="s">
        <v>50</v>
      </c>
      <c r="C58" s="1291">
        <v>13</v>
      </c>
      <c r="D58" s="1291">
        <v>733082</v>
      </c>
      <c r="E58" s="1291">
        <v>18</v>
      </c>
      <c r="F58" s="1291">
        <v>358086</v>
      </c>
    </row>
    <row r="59" spans="1:6">
      <c r="A59" s="1290" t="s">
        <v>48</v>
      </c>
      <c r="B59" s="1290" t="s">
        <v>51</v>
      </c>
      <c r="C59" s="1291">
        <v>31</v>
      </c>
      <c r="D59" s="1291">
        <v>889068</v>
      </c>
      <c r="E59" s="1291">
        <v>77</v>
      </c>
      <c r="F59" s="1291">
        <v>2470104</v>
      </c>
    </row>
    <row r="60" spans="1:6">
      <c r="A60" s="1290" t="s">
        <v>48</v>
      </c>
      <c r="B60" s="1290" t="s">
        <v>52</v>
      </c>
      <c r="C60" s="1291">
        <v>13</v>
      </c>
      <c r="D60" s="1291">
        <v>565325</v>
      </c>
      <c r="E60" s="1291">
        <v>26</v>
      </c>
      <c r="F60" s="1291">
        <v>404926</v>
      </c>
    </row>
    <row r="61" spans="1:6">
      <c r="A61" s="1290" t="s">
        <v>48</v>
      </c>
      <c r="B61" s="1290" t="s">
        <v>53</v>
      </c>
      <c r="C61" s="1291">
        <v>64</v>
      </c>
      <c r="D61" s="1291">
        <v>2611452</v>
      </c>
      <c r="E61" s="1291">
        <v>180</v>
      </c>
      <c r="F61" s="1291">
        <v>1983977</v>
      </c>
    </row>
    <row r="62" spans="1:6">
      <c r="A62" s="1290" t="s">
        <v>48</v>
      </c>
      <c r="B62" s="1290" t="s">
        <v>54</v>
      </c>
      <c r="C62" s="1291">
        <v>5</v>
      </c>
      <c r="D62" s="1291">
        <v>624319</v>
      </c>
      <c r="E62" s="1291">
        <v>4</v>
      </c>
      <c r="F62" s="1291">
        <v>265898</v>
      </c>
    </row>
    <row r="63" spans="1:6">
      <c r="A63" s="1290" t="s">
        <v>48</v>
      </c>
      <c r="B63" s="1290" t="s">
        <v>28</v>
      </c>
      <c r="C63" s="1291">
        <v>0</v>
      </c>
      <c r="D63" s="1291">
        <v>0</v>
      </c>
      <c r="E63" s="1291">
        <v>0</v>
      </c>
      <c r="F63" s="1291">
        <v>3034</v>
      </c>
    </row>
    <row r="64" spans="1:6">
      <c r="A64" s="1290" t="s">
        <v>55</v>
      </c>
      <c r="B64" s="1290" t="s">
        <v>56</v>
      </c>
      <c r="C64" s="1291">
        <v>0</v>
      </c>
      <c r="D64" s="1291">
        <v>0</v>
      </c>
      <c r="E64" s="1291">
        <v>0</v>
      </c>
      <c r="F64" s="1291">
        <v>0</v>
      </c>
    </row>
    <row r="65" spans="1:6">
      <c r="A65" s="1290" t="s">
        <v>55</v>
      </c>
      <c r="B65" s="1290" t="s">
        <v>28</v>
      </c>
      <c r="C65" s="1291">
        <v>0</v>
      </c>
      <c r="D65" s="1291">
        <v>38108</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7</v>
      </c>
      <c r="F68" s="1294">
        <v>57482</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50578521</v>
      </c>
      <c r="E73" s="443"/>
      <c r="F73" s="324"/>
    </row>
    <row r="74" spans="1:6">
      <c r="A74" s="1290" t="s">
        <v>63</v>
      </c>
      <c r="B74" s="1290" t="s">
        <v>657</v>
      </c>
      <c r="C74" s="1304" t="s">
        <v>659</v>
      </c>
      <c r="D74" s="1305">
        <v>4708399.5088242022</v>
      </c>
      <c r="E74" s="443"/>
      <c r="F74" s="324"/>
    </row>
    <row r="75" spans="1:6">
      <c r="A75" s="1290" t="s">
        <v>64</v>
      </c>
      <c r="B75" s="1290" t="s">
        <v>656</v>
      </c>
      <c r="C75" s="1304" t="s">
        <v>660</v>
      </c>
      <c r="D75" s="1305">
        <v>14131806</v>
      </c>
      <c r="E75" s="443"/>
      <c r="F75" s="324"/>
    </row>
    <row r="76" spans="1:6">
      <c r="A76" s="1290" t="s">
        <v>64</v>
      </c>
      <c r="B76" s="1290" t="s">
        <v>657</v>
      </c>
      <c r="C76" s="1304" t="s">
        <v>661</v>
      </c>
      <c r="D76" s="1305">
        <v>10443.800000000001</v>
      </c>
      <c r="E76" s="443"/>
      <c r="F76" s="324"/>
    </row>
    <row r="77" spans="1:6">
      <c r="A77" s="1290" t="s">
        <v>65</v>
      </c>
      <c r="B77" s="1290" t="s">
        <v>656</v>
      </c>
      <c r="C77" s="1304" t="s">
        <v>662</v>
      </c>
      <c r="D77" s="1305">
        <v>0</v>
      </c>
      <c r="E77" s="443"/>
      <c r="F77" s="324"/>
    </row>
    <row r="78" spans="1:6">
      <c r="A78" s="1285" t="s">
        <v>65</v>
      </c>
      <c r="B78" s="1285" t="s">
        <v>657</v>
      </c>
      <c r="C78" s="1285" t="s">
        <v>663</v>
      </c>
      <c r="D78" s="1306">
        <v>0</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250426.9823515949</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2636.512166360445</v>
      </c>
      <c r="C91" s="324"/>
      <c r="D91" s="324"/>
      <c r="E91" s="324"/>
      <c r="F91" s="324"/>
    </row>
    <row r="92" spans="1:6">
      <c r="A92" s="1285" t="s">
        <v>68</v>
      </c>
      <c r="B92" s="1286">
        <v>892.64715850979985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236</v>
      </c>
      <c r="C97" s="324"/>
      <c r="D97" s="324"/>
      <c r="E97" s="324"/>
      <c r="F97" s="324"/>
    </row>
    <row r="98" spans="1:6">
      <c r="A98" s="1290" t="s">
        <v>71</v>
      </c>
      <c r="B98" s="1291">
        <v>1</v>
      </c>
      <c r="C98" s="324"/>
      <c r="D98" s="324"/>
      <c r="E98" s="324"/>
      <c r="F98" s="324"/>
    </row>
    <row r="99" spans="1:6">
      <c r="A99" s="1290" t="s">
        <v>72</v>
      </c>
      <c r="B99" s="1291">
        <v>52</v>
      </c>
      <c r="C99" s="324"/>
      <c r="D99" s="324"/>
      <c r="E99" s="324"/>
      <c r="F99" s="324"/>
    </row>
    <row r="100" spans="1:6">
      <c r="A100" s="1290" t="s">
        <v>73</v>
      </c>
      <c r="B100" s="1291">
        <v>78</v>
      </c>
      <c r="C100" s="324"/>
      <c r="D100" s="324"/>
      <c r="E100" s="324"/>
      <c r="F100" s="324"/>
    </row>
    <row r="101" spans="1:6">
      <c r="A101" s="1290" t="s">
        <v>74</v>
      </c>
      <c r="B101" s="1291">
        <v>39</v>
      </c>
      <c r="C101" s="324"/>
      <c r="D101" s="324"/>
      <c r="E101" s="324"/>
      <c r="F101" s="324"/>
    </row>
    <row r="102" spans="1:6">
      <c r="A102" s="1290" t="s">
        <v>75</v>
      </c>
      <c r="B102" s="1291">
        <v>30</v>
      </c>
      <c r="C102" s="324"/>
      <c r="D102" s="324"/>
      <c r="E102" s="324"/>
      <c r="F102" s="324"/>
    </row>
    <row r="103" spans="1:6">
      <c r="A103" s="1290" t="s">
        <v>76</v>
      </c>
      <c r="B103" s="1291">
        <v>98</v>
      </c>
      <c r="C103" s="324"/>
      <c r="D103" s="324"/>
      <c r="E103" s="324"/>
      <c r="F103" s="324"/>
    </row>
    <row r="104" spans="1:6">
      <c r="A104" s="1290" t="s">
        <v>77</v>
      </c>
      <c r="B104" s="1291">
        <v>2326</v>
      </c>
      <c r="C104" s="324"/>
      <c r="D104" s="324"/>
      <c r="E104" s="324"/>
      <c r="F104" s="324"/>
    </row>
    <row r="105" spans="1:6">
      <c r="A105" s="1285" t="s">
        <v>78</v>
      </c>
      <c r="B105" s="1294">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13</v>
      </c>
      <c r="C123" s="1291">
        <v>11</v>
      </c>
      <c r="D123" s="324"/>
      <c r="E123" s="324"/>
      <c r="F123" s="324"/>
    </row>
    <row r="124" spans="1:6" s="43" customFormat="1">
      <c r="A124" s="1292" t="s">
        <v>88</v>
      </c>
      <c r="B124" s="1313">
        <v>1</v>
      </c>
      <c r="C124" s="1313">
        <v>2</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83</v>
      </c>
      <c r="C129" s="324"/>
      <c r="D129" s="324"/>
      <c r="E129" s="324"/>
      <c r="F129" s="324"/>
    </row>
    <row r="130" spans="1:6">
      <c r="A130" s="1290" t="s">
        <v>290</v>
      </c>
      <c r="B130" s="1291">
        <v>0</v>
      </c>
      <c r="C130" s="324"/>
      <c r="D130" s="324"/>
      <c r="E130" s="324"/>
      <c r="F130" s="324"/>
    </row>
    <row r="131" spans="1:6">
      <c r="A131" s="1290" t="s">
        <v>291</v>
      </c>
      <c r="B131" s="1291">
        <v>0</v>
      </c>
      <c r="C131" s="324"/>
      <c r="D131" s="324"/>
      <c r="E131" s="324"/>
      <c r="F131" s="324"/>
    </row>
    <row r="132" spans="1:6">
      <c r="A132" s="1285" t="s">
        <v>292</v>
      </c>
      <c r="B132" s="1286">
        <v>20</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24862.174263784382</v>
      </c>
      <c r="C3" s="43" t="s">
        <v>169</v>
      </c>
      <c r="D3" s="43"/>
      <c r="E3" s="154"/>
      <c r="F3" s="43"/>
      <c r="G3" s="43"/>
      <c r="H3" s="43"/>
      <c r="I3" s="43"/>
      <c r="J3" s="43"/>
      <c r="K3" s="96"/>
    </row>
    <row r="4" spans="1:11">
      <c r="A4" s="352" t="s">
        <v>170</v>
      </c>
      <c r="B4" s="49">
        <f>IF(ISERROR('SEAP template'!B78+'SEAP template'!C78),0,'SEAP template'!B78+'SEAP template'!C78)</f>
        <v>14653.159324870245</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2.4938105543532547</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9.084829380125875E-2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3.5661894456467462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15907.5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2.2418289773042566E-4</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455.05700000000002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9.084829380125875E-2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41.341152032319407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11726.851000000001</v>
      </c>
      <c r="C5" s="17">
        <f>IF(ISERROR('Eigen informatie GS &amp; warmtenet'!B57),0,'Eigen informatie GS &amp; warmtenet'!B57)</f>
        <v>0</v>
      </c>
      <c r="D5" s="30">
        <f>(SUM(HH_hh_gas_kWh,HH_rest_gas_kWh)/1000)*0.902</f>
        <v>19541.227464</v>
      </c>
      <c r="E5" s="17">
        <f>B32*B41</f>
        <v>1059.8486958243386</v>
      </c>
      <c r="F5" s="17">
        <f>B36*B45</f>
        <v>28815.188205009617</v>
      </c>
      <c r="G5" s="18"/>
      <c r="H5" s="17"/>
      <c r="I5" s="17"/>
      <c r="J5" s="17">
        <f>B35*B44+C35*C44</f>
        <v>531.40353802049572</v>
      </c>
      <c r="K5" s="17"/>
      <c r="L5" s="17"/>
      <c r="M5" s="17"/>
      <c r="N5" s="17">
        <f>B34*B43+C34*C43</f>
        <v>4709.9079276673001</v>
      </c>
      <c r="O5" s="17">
        <f>B52*B53*B54</f>
        <v>150.08000000000001</v>
      </c>
      <c r="P5" s="17">
        <f>B60*B61*B62/1000-B60*B61*B62/1000/B63</f>
        <v>648.26666666666665</v>
      </c>
    </row>
    <row r="6" spans="1:16">
      <c r="A6" s="16" t="s">
        <v>617</v>
      </c>
      <c r="B6" s="756">
        <f>kWh_PV_kleiner_dan_10kW</f>
        <v>2636.512166360445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14363.363166360446</v>
      </c>
      <c r="C8" s="21">
        <f>C5</f>
        <v>0</v>
      </c>
      <c r="D8" s="21">
        <f>D5</f>
        <v>19541.227464</v>
      </c>
      <c r="E8" s="21">
        <f>E5</f>
        <v>1059.8486958243386</v>
      </c>
      <c r="F8" s="21">
        <f>F5</f>
        <v>28815.188205009617</v>
      </c>
      <c r="G8" s="21"/>
      <c r="H8" s="21"/>
      <c r="I8" s="21"/>
      <c r="J8" s="21">
        <f>J5</f>
        <v>531.40353802049572</v>
      </c>
      <c r="K8" s="21"/>
      <c r="L8" s="21">
        <f>L5</f>
        <v>0</v>
      </c>
      <c r="M8" s="21">
        <f>M5</f>
        <v>0</v>
      </c>
      <c r="N8" s="21">
        <f>N5</f>
        <v>4709.9079276673001</v>
      </c>
      <c r="O8" s="21">
        <f>O5</f>
        <v>150.08000000000001</v>
      </c>
      <c r="P8" s="21">
        <f>P5</f>
        <v>648.26666666666665</v>
      </c>
    </row>
    <row r="9" spans="1:16">
      <c r="B9" s="19"/>
      <c r="C9" s="19"/>
      <c r="D9" s="254"/>
      <c r="E9" s="19"/>
      <c r="F9" s="19"/>
      <c r="G9" s="19"/>
      <c r="H9" s="19"/>
      <c r="I9" s="19"/>
      <c r="J9" s="19"/>
      <c r="K9" s="19"/>
      <c r="L9" s="19"/>
      <c r="M9" s="19"/>
      <c r="N9" s="19"/>
      <c r="O9" s="19"/>
      <c r="P9" s="19"/>
    </row>
    <row r="10" spans="1:16">
      <c r="A10" s="24" t="s">
        <v>213</v>
      </c>
      <c r="B10" s="25">
        <f ca="1">'EF ele_warmte'!B12</f>
        <v>9.084829380125875E-2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1304.8870369116921</v>
      </c>
      <c r="C12" s="23">
        <f ca="1">C10*C8</f>
        <v>0</v>
      </c>
      <c r="D12" s="23">
        <f>D8*D10</f>
        <v>3947.3279477280003</v>
      </c>
      <c r="E12" s="23">
        <f>E10*E8</f>
        <v>240.58565395212489</v>
      </c>
      <c r="F12" s="23">
        <f>F10*F8</f>
        <v>7693.6552507375682</v>
      </c>
      <c r="G12" s="23"/>
      <c r="H12" s="23"/>
      <c r="I12" s="23"/>
      <c r="J12" s="23">
        <f>J10*J8</f>
        <v>188.11685245925548</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3384</v>
      </c>
      <c r="C26" s="36"/>
      <c r="D26" s="225"/>
    </row>
    <row r="27" spans="1:5" s="15" customFormat="1">
      <c r="A27" s="227" t="s">
        <v>686</v>
      </c>
      <c r="B27" s="37">
        <f>SUM(HH_hh_gas_aantal,HH_rest_gas_aantal)</f>
        <v>1408</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1337.6</v>
      </c>
      <c r="C31" s="34" t="s">
        <v>110</v>
      </c>
      <c r="D31" s="171"/>
    </row>
    <row r="32" spans="1:5">
      <c r="A32" s="168" t="s">
        <v>72</v>
      </c>
      <c r="B32" s="33">
        <f>IF((B21*($B$26-($B$27-0.05*$B$27)-$B$60))&lt;0,0,B21*($B$26-($B$27-0.05*$B$27)-$B$60))</f>
        <v>12.986876155098313</v>
      </c>
      <c r="C32" s="34" t="s">
        <v>110</v>
      </c>
      <c r="D32" s="171"/>
    </row>
    <row r="33" spans="1:6">
      <c r="A33" s="168" t="s">
        <v>73</v>
      </c>
      <c r="B33" s="33">
        <f>IF((B22*($B$26-($B$27-0.05*$B$27)-$B$60))&lt;0,0,B22*($B$26-($B$27-0.05*$B$27)-$B$60))</f>
        <v>452.25020533385134</v>
      </c>
      <c r="C33" s="34" t="s">
        <v>110</v>
      </c>
      <c r="D33" s="171"/>
    </row>
    <row r="34" spans="1:6">
      <c r="A34" s="168" t="s">
        <v>74</v>
      </c>
      <c r="B34" s="33">
        <f>IF((B24*($B$26-($B$27-0.05*$B$27)-$B$60))&lt;0,0,B24*($B$26-($B$27-0.05*$B$27)-$B$60))</f>
        <v>89.80762343580038</v>
      </c>
      <c r="C34" s="33">
        <f>B26*C24</f>
        <v>692.57735990908373</v>
      </c>
      <c r="D34" s="230"/>
    </row>
    <row r="35" spans="1:6">
      <c r="A35" s="168" t="s">
        <v>76</v>
      </c>
      <c r="B35" s="33">
        <f>IF((B19*($B$26-($B$27-0.05*$B$27)-$B$60))&lt;0,0,B19*($B$26-($B$27-0.05*$B$27)-$B$60))</f>
        <v>43.857586533812942</v>
      </c>
      <c r="C35" s="33">
        <f>B35/2</f>
        <v>21.928793266906471</v>
      </c>
      <c r="D35" s="230"/>
    </row>
    <row r="36" spans="1:6">
      <c r="A36" s="168" t="s">
        <v>77</v>
      </c>
      <c r="B36" s="33">
        <f>IF((B18*($B$26-($B$27-0.05*$B$27)-$B$60))&lt;0,0,B18*($B$26-($B$27-0.05*$B$27)-$B$60))</f>
        <v>1413.4977085414375</v>
      </c>
      <c r="C36" s="34" t="s">
        <v>110</v>
      </c>
      <c r="D36" s="171"/>
    </row>
    <row r="37" spans="1:6">
      <c r="A37" s="168" t="s">
        <v>78</v>
      </c>
      <c r="B37" s="33">
        <f>B60</f>
        <v>34</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96</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34</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6845.3949999999995</v>
      </c>
      <c r="C5" s="17">
        <f>IF(ISERROR('Eigen informatie GS &amp; warmtenet'!B58),0,'Eigen informatie GS &amp; warmtenet'!B58)</f>
        <v>0</v>
      </c>
      <c r="D5" s="30">
        <f>SUM(D6:D12)</f>
        <v>5174.0911860000006</v>
      </c>
      <c r="E5" s="17">
        <f>SUM(E6:E12)</f>
        <v>119.94525190254514</v>
      </c>
      <c r="F5" s="17">
        <f>SUM(F6:F12)</f>
        <v>1662.702122984</v>
      </c>
      <c r="G5" s="18"/>
      <c r="H5" s="17"/>
      <c r="I5" s="17"/>
      <c r="J5" s="17">
        <f>SUM(J6:J12)</f>
        <v>0</v>
      </c>
      <c r="K5" s="17"/>
      <c r="L5" s="17"/>
      <c r="M5" s="17"/>
      <c r="N5" s="17">
        <f>SUM(N6:N12)</f>
        <v>1081.2636926130519</v>
      </c>
      <c r="O5" s="17">
        <f>B38*B39*B40</f>
        <v>0</v>
      </c>
      <c r="P5" s="17">
        <f>B46*B47*B48/1000-B46*B47*B48/1000/B49</f>
        <v>0</v>
      </c>
      <c r="R5" s="32"/>
    </row>
    <row r="6" spans="1:18">
      <c r="A6" s="32" t="s">
        <v>53</v>
      </c>
      <c r="B6" s="37">
        <f>B26</f>
        <v>1983.9770000000001</v>
      </c>
      <c r="C6" s="33"/>
      <c r="D6" s="37">
        <f>IF(ISERROR(TER_kantoor_gas_kWh/1000),0,TER_kantoor_gas_kWh/1000)*0.902</f>
        <v>2355.5297040000005</v>
      </c>
      <c r="E6" s="33">
        <f>$C$26*'E Balans VL '!I12/100/3.6*1000000</f>
        <v>25.972702835287897</v>
      </c>
      <c r="F6" s="33">
        <f>$C$26*('E Balans VL '!L12+'E Balans VL '!N12)/100/3.6*1000000</f>
        <v>505.89363334751926</v>
      </c>
      <c r="G6" s="34"/>
      <c r="H6" s="33"/>
      <c r="I6" s="33"/>
      <c r="J6" s="33">
        <f>$C$26*('E Balans VL '!D12+'E Balans VL '!E12)/100/3.6*1000000</f>
        <v>0</v>
      </c>
      <c r="K6" s="33"/>
      <c r="L6" s="33"/>
      <c r="M6" s="33"/>
      <c r="N6" s="33">
        <f>$C$26*'E Balans VL '!Y12/100/3.6*1000000</f>
        <v>1.9906579362801182</v>
      </c>
      <c r="O6" s="33"/>
      <c r="P6" s="33"/>
      <c r="R6" s="32"/>
    </row>
    <row r="7" spans="1:18">
      <c r="A7" s="32" t="s">
        <v>52</v>
      </c>
      <c r="B7" s="37">
        <f t="shared" ref="B7:B12" si="0">B27</f>
        <v>404.92599999999999</v>
      </c>
      <c r="C7" s="33"/>
      <c r="D7" s="37">
        <f>IF(ISERROR(TER_horeca_gas_kWh/1000),0,TER_horeca_gas_kWh/1000)*0.902</f>
        <v>509.92315000000008</v>
      </c>
      <c r="E7" s="33">
        <f>$C$27*'E Balans VL '!I9/100/3.6*1000000</f>
        <v>13.400587517768413</v>
      </c>
      <c r="F7" s="33">
        <f>$C$27*('E Balans VL '!L9+'E Balans VL '!N9)/100/3.6*1000000</f>
        <v>174.11662813559337</v>
      </c>
      <c r="G7" s="34"/>
      <c r="H7" s="33"/>
      <c r="I7" s="33"/>
      <c r="J7" s="33">
        <f>$C$27*('E Balans VL '!D9+'E Balans VL '!E9)/100/3.6*1000000</f>
        <v>0</v>
      </c>
      <c r="K7" s="33"/>
      <c r="L7" s="33"/>
      <c r="M7" s="33"/>
      <c r="N7" s="33">
        <f>$C$27*'E Balans VL '!Y9/100/3.6*1000000</f>
        <v>9.7471568370815123E-2</v>
      </c>
      <c r="O7" s="33"/>
      <c r="P7" s="33"/>
      <c r="R7" s="32"/>
    </row>
    <row r="8" spans="1:18">
      <c r="A8" s="6" t="s">
        <v>51</v>
      </c>
      <c r="B8" s="37">
        <f t="shared" si="0"/>
        <v>2470.1039999999998</v>
      </c>
      <c r="C8" s="33"/>
      <c r="D8" s="37">
        <f>IF(ISERROR(TER_handel_gas_kWh/1000),0,TER_handel_gas_kWh/1000)*0.902</f>
        <v>801.93933600000003</v>
      </c>
      <c r="E8" s="33">
        <f>$C$28*'E Balans VL '!I13/100/3.6*1000000</f>
        <v>77.960256446566746</v>
      </c>
      <c r="F8" s="33">
        <f>$C$28*('E Balans VL '!L13+'E Balans VL '!N13)/100/3.6*1000000</f>
        <v>484.43089023097929</v>
      </c>
      <c r="G8" s="34"/>
      <c r="H8" s="33"/>
      <c r="I8" s="33"/>
      <c r="J8" s="33">
        <f>$C$28*('E Balans VL '!D13+'E Balans VL '!E13)/100/3.6*1000000</f>
        <v>0</v>
      </c>
      <c r="K8" s="33"/>
      <c r="L8" s="33"/>
      <c r="M8" s="33"/>
      <c r="N8" s="33">
        <f>$C$28*'E Balans VL '!Y13/100/3.6*1000000</f>
        <v>2.9315338831957609</v>
      </c>
      <c r="O8" s="33"/>
      <c r="P8" s="33"/>
      <c r="R8" s="32"/>
    </row>
    <row r="9" spans="1:18">
      <c r="A9" s="32" t="s">
        <v>50</v>
      </c>
      <c r="B9" s="37">
        <f t="shared" si="0"/>
        <v>358.08600000000001</v>
      </c>
      <c r="C9" s="33"/>
      <c r="D9" s="37">
        <f>IF(ISERROR(TER_gezond_gas_kWh/1000),0,TER_gezond_gas_kWh/1000)*0.902</f>
        <v>661.23996399999999</v>
      </c>
      <c r="E9" s="33">
        <f>$C$29*'E Balans VL '!I10/100/3.6*1000000</f>
        <v>4.5845483573496673E-2</v>
      </c>
      <c r="F9" s="33">
        <f>$C$29*('E Balans VL '!L10+'E Balans VL '!N10)/100/3.6*1000000</f>
        <v>74.604322559713509</v>
      </c>
      <c r="G9" s="34"/>
      <c r="H9" s="33"/>
      <c r="I9" s="33"/>
      <c r="J9" s="33">
        <f>$C$29*('E Balans VL '!D10+'E Balans VL '!E10)/100/3.6*1000000</f>
        <v>0</v>
      </c>
      <c r="K9" s="33"/>
      <c r="L9" s="33"/>
      <c r="M9" s="33"/>
      <c r="N9" s="33">
        <f>$C$29*'E Balans VL '!Y10/100/3.6*1000000</f>
        <v>4.2058893236946764</v>
      </c>
      <c r="O9" s="33"/>
      <c r="P9" s="33"/>
      <c r="R9" s="32"/>
    </row>
    <row r="10" spans="1:18">
      <c r="A10" s="32" t="s">
        <v>49</v>
      </c>
      <c r="B10" s="37">
        <f t="shared" si="0"/>
        <v>1359.37</v>
      </c>
      <c r="C10" s="33"/>
      <c r="D10" s="37">
        <f>IF(ISERROR(TER_ander_gas_kWh/1000),0,TER_ander_gas_kWh/1000)*0.902</f>
        <v>282.32329400000003</v>
      </c>
      <c r="E10" s="33">
        <f>$C$30*'E Balans VL '!I14/100/3.6*1000000</f>
        <v>2.0441728029547481</v>
      </c>
      <c r="F10" s="33">
        <f>$C$30*('E Balans VL '!L14+'E Balans VL '!N14)/100/3.6*1000000</f>
        <v>300.10507725589304</v>
      </c>
      <c r="G10" s="34"/>
      <c r="H10" s="33"/>
      <c r="I10" s="33"/>
      <c r="J10" s="33">
        <f>$C$30*('E Balans VL '!D14+'E Balans VL '!E14)/100/3.6*1000000</f>
        <v>0</v>
      </c>
      <c r="K10" s="33"/>
      <c r="L10" s="33"/>
      <c r="M10" s="33"/>
      <c r="N10" s="33">
        <f>$C$30*'E Balans VL '!Y14/100/3.6*1000000</f>
        <v>1071.2750421517794</v>
      </c>
      <c r="O10" s="33"/>
      <c r="P10" s="33"/>
      <c r="R10" s="32"/>
    </row>
    <row r="11" spans="1:18">
      <c r="A11" s="32" t="s">
        <v>54</v>
      </c>
      <c r="B11" s="37">
        <f t="shared" si="0"/>
        <v>265.89800000000002</v>
      </c>
      <c r="C11" s="33"/>
      <c r="D11" s="37">
        <f>IF(ISERROR(TER_onderwijs_gas_kWh/1000),0,TER_onderwijs_gas_kWh/1000)*0.902</f>
        <v>563.13573799999995</v>
      </c>
      <c r="E11" s="33">
        <f>$C$31*'E Balans VL '!I11/100/3.6*1000000</f>
        <v>0.46826866017537855</v>
      </c>
      <c r="F11" s="33">
        <f>$C$31*('E Balans VL '!L11+'E Balans VL '!N11)/100/3.6*1000000</f>
        <v>122.76991801635228</v>
      </c>
      <c r="G11" s="34"/>
      <c r="H11" s="33"/>
      <c r="I11" s="33"/>
      <c r="J11" s="33">
        <f>$C$31*('E Balans VL '!D11+'E Balans VL '!E11)/100/3.6*1000000</f>
        <v>0</v>
      </c>
      <c r="K11" s="33"/>
      <c r="L11" s="33"/>
      <c r="M11" s="33"/>
      <c r="N11" s="33">
        <f>$C$31*'E Balans VL '!Y11/100/3.6*1000000</f>
        <v>0.49537165104460174</v>
      </c>
      <c r="O11" s="33"/>
      <c r="P11" s="33"/>
      <c r="R11" s="32"/>
    </row>
    <row r="12" spans="1:18">
      <c r="A12" s="32" t="s">
        <v>255</v>
      </c>
      <c r="B12" s="37">
        <f t="shared" si="0"/>
        <v>3.0339999999999998</v>
      </c>
      <c r="C12" s="33"/>
      <c r="D12" s="37">
        <f>IF(ISERROR(TER_rest_gas_kWh/1000),0,TER_rest_gas_kWh/1000)*0.902</f>
        <v>0</v>
      </c>
      <c r="E12" s="33">
        <f>$C$32*'E Balans VL '!I8/100/3.6*1000000</f>
        <v>5.3418156218443674E-2</v>
      </c>
      <c r="F12" s="33">
        <f>$C$32*('E Balans VL '!L8+'E Balans VL '!N8)/100/3.6*1000000</f>
        <v>0.78165343794953013</v>
      </c>
      <c r="G12" s="34"/>
      <c r="H12" s="33"/>
      <c r="I12" s="33"/>
      <c r="J12" s="33">
        <f>$C$32*('E Balans VL '!D8+'E Balans VL '!E8)/100/3.6*1000000</f>
        <v>0</v>
      </c>
      <c r="K12" s="33"/>
      <c r="L12" s="33"/>
      <c r="M12" s="33"/>
      <c r="N12" s="33">
        <f>$C$32*'E Balans VL '!Y8/100/3.6*1000000</f>
        <v>0.2677260986864502</v>
      </c>
      <c r="O12" s="33"/>
      <c r="P12" s="33"/>
      <c r="R12" s="32"/>
    </row>
    <row r="13" spans="1:18">
      <c r="A13" s="16" t="s">
        <v>484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6845.3949999999995</v>
      </c>
      <c r="C16" s="21">
        <f t="shared" ca="1" si="1"/>
        <v>0</v>
      </c>
      <c r="D16" s="21">
        <f t="shared" ca="1" si="1"/>
        <v>5174.0911860000006</v>
      </c>
      <c r="E16" s="21">
        <f t="shared" si="1"/>
        <v>119.94525190254514</v>
      </c>
      <c r="F16" s="21">
        <f t="shared" ca="1" si="1"/>
        <v>1662.702122984</v>
      </c>
      <c r="G16" s="21">
        <f t="shared" si="1"/>
        <v>0</v>
      </c>
      <c r="H16" s="21">
        <f t="shared" si="1"/>
        <v>0</v>
      </c>
      <c r="I16" s="21">
        <f t="shared" si="1"/>
        <v>0</v>
      </c>
      <c r="J16" s="21">
        <f t="shared" si="1"/>
        <v>0</v>
      </c>
      <c r="K16" s="21">
        <f t="shared" si="1"/>
        <v>0</v>
      </c>
      <c r="L16" s="21">
        <f t="shared" ca="1" si="1"/>
        <v>0</v>
      </c>
      <c r="M16" s="21">
        <f t="shared" si="1"/>
        <v>0</v>
      </c>
      <c r="N16" s="21">
        <f t="shared" ca="1" si="1"/>
        <v>1081.2636926130519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9.084829380125875E-2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621.89245614566755</v>
      </c>
      <c r="C20" s="23">
        <f t="shared" ref="C20:P20" ca="1" si="2">C16*C18</f>
        <v>0</v>
      </c>
      <c r="D20" s="23">
        <f t="shared" ca="1" si="2"/>
        <v>1045.1664195720002</v>
      </c>
      <c r="E20" s="23">
        <f t="shared" si="2"/>
        <v>27.227572181877747</v>
      </c>
      <c r="F20" s="23">
        <f t="shared" ca="1" si="2"/>
        <v>443.94146683672801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1983.9770000000001</v>
      </c>
      <c r="C26" s="39">
        <f>IF(ISERROR(B26*3.6/1000000/'E Balans VL '!Z12*100),0,B26*3.6/1000000/'E Balans VL '!Z12*100)</f>
        <v>4.2498328631714127E-2</v>
      </c>
      <c r="D26" s="233" t="s">
        <v>652</v>
      </c>
      <c r="F26" s="6"/>
    </row>
    <row r="27" spans="1:18">
      <c r="A27" s="228" t="s">
        <v>52</v>
      </c>
      <c r="B27" s="33">
        <f>IF(ISERROR(TER_horeca_ele_kWh/1000),0,TER_horeca_ele_kWh/1000)</f>
        <v>404.92599999999999</v>
      </c>
      <c r="C27" s="39">
        <f>IF(ISERROR(B27*3.6/1000000/'E Balans VL '!Z9*100),0,B27*3.6/1000000/'E Balans VL '!Z9*100)</f>
        <v>3.2493903991590675E-2</v>
      </c>
      <c r="D27" s="233" t="s">
        <v>652</v>
      </c>
      <c r="F27" s="6"/>
    </row>
    <row r="28" spans="1:18">
      <c r="A28" s="168" t="s">
        <v>51</v>
      </c>
      <c r="B28" s="33">
        <f>IF(ISERROR(TER_handel_ele_kWh/1000),0,TER_handel_ele_kWh/1000)</f>
        <v>2470.1039999999998</v>
      </c>
      <c r="C28" s="39">
        <f>IF(ISERROR(B28*3.6/1000000/'E Balans VL '!Z13*100),0,B28*3.6/1000000/'E Balans VL '!Z13*100)</f>
        <v>7.2853900048569661E-2</v>
      </c>
      <c r="D28" s="233" t="s">
        <v>652</v>
      </c>
      <c r="F28" s="6"/>
    </row>
    <row r="29" spans="1:18">
      <c r="A29" s="228" t="s">
        <v>50</v>
      </c>
      <c r="B29" s="33">
        <f>IF(ISERROR(TER_gezond_ele_kWh/1000),0,TER_gezond_ele_kWh/1000)</f>
        <v>358.08600000000001</v>
      </c>
      <c r="C29" s="39">
        <f>IF(ISERROR(B29*3.6/1000000/'E Balans VL '!Z10*100),0,B29*3.6/1000000/'E Balans VL '!Z10*100)</f>
        <v>3.8233984154318758E-2</v>
      </c>
      <c r="D29" s="233" t="s">
        <v>652</v>
      </c>
      <c r="F29" s="6"/>
    </row>
    <row r="30" spans="1:18">
      <c r="A30" s="228" t="s">
        <v>49</v>
      </c>
      <c r="B30" s="33">
        <f>IF(ISERROR(TER_ander_ele_kWh/1000),0,TER_ander_ele_kWh/1000)</f>
        <v>1359.37</v>
      </c>
      <c r="C30" s="39">
        <f>IF(ISERROR(B30*3.6/1000000/'E Balans VL '!Z14*100),0,B30*3.6/1000000/'E Balans VL '!Z14*100)</f>
        <v>0.10267855413067159</v>
      </c>
      <c r="D30" s="233" t="s">
        <v>652</v>
      </c>
      <c r="F30" s="6"/>
    </row>
    <row r="31" spans="1:18">
      <c r="A31" s="228" t="s">
        <v>54</v>
      </c>
      <c r="B31" s="33">
        <f>IF(ISERROR(TER_onderwijs_ele_kWh/1000),0,TER_onderwijs_ele_kWh/1000)</f>
        <v>265.89800000000002</v>
      </c>
      <c r="C31" s="39">
        <f>IF(ISERROR(B31*3.6/1000000/'E Balans VL '!Z11*100),0,B31*3.6/1000000/'E Balans VL '!Z11*100)</f>
        <v>5.3693682560976272E-2</v>
      </c>
      <c r="D31" s="233" t="s">
        <v>652</v>
      </c>
    </row>
    <row r="32" spans="1:18">
      <c r="A32" s="228" t="s">
        <v>255</v>
      </c>
      <c r="B32" s="33">
        <f>IF(ISERROR(TER_rest_ele_kWh/1000),0,TER_rest_ele_kWh/1000)</f>
        <v>3.0339999999999998</v>
      </c>
      <c r="C32" s="39">
        <f>IF(ISERROR(B32*3.6/1000000/'E Balans VL '!Z8*100),0,B32*3.6/1000000/'E Balans VL '!Z8*100)</f>
        <v>2.5156084814521679E-5</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0</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0</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997.47</v>
      </c>
      <c r="C5" s="17">
        <f>IF(ISERROR('Eigen informatie GS &amp; warmtenet'!B59),0,'Eigen informatie GS &amp; warmtenet'!B59)</f>
        <v>0</v>
      </c>
      <c r="D5" s="30">
        <f>SUM(D6:D15)</f>
        <v>519.60431600000004</v>
      </c>
      <c r="E5" s="17">
        <f>SUM(E6:E15)</f>
        <v>142.43520522328052</v>
      </c>
      <c r="F5" s="17">
        <f>SUM(F6:F15)</f>
        <v>588.83334473663604</v>
      </c>
      <c r="G5" s="18"/>
      <c r="H5" s="17"/>
      <c r="I5" s="17"/>
      <c r="J5" s="17">
        <f>SUM(J6:J15)</f>
        <v>0.92041704274227532</v>
      </c>
      <c r="K5" s="17"/>
      <c r="L5" s="17"/>
      <c r="M5" s="17"/>
      <c r="N5" s="17">
        <f>SUM(N6:N15)</f>
        <v>105.7796277469906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274.36500000000001</v>
      </c>
      <c r="C8" s="33"/>
      <c r="D8" s="37">
        <f>IF( ISERROR(IND_metaal_Gas_kWH/1000),0,IND_metaal_Gas_kWH/1000)*0.902</f>
        <v>0</v>
      </c>
      <c r="E8" s="33">
        <f>C30*'E Balans VL '!I18/100/3.6*1000000</f>
        <v>9.8724827103897503</v>
      </c>
      <c r="F8" s="33">
        <f>C30*'E Balans VL '!L18/100/3.6*1000000+C30*'E Balans VL '!N18/100/3.6*1000000</f>
        <v>119.8063015435996</v>
      </c>
      <c r="G8" s="34"/>
      <c r="H8" s="33"/>
      <c r="I8" s="33"/>
      <c r="J8" s="40">
        <f>C30*'E Balans VL '!D18/100/3.6*1000000+C30*'E Balans VL '!E18/100/3.6*1000000</f>
        <v>0</v>
      </c>
      <c r="K8" s="33"/>
      <c r="L8" s="33"/>
      <c r="M8" s="33"/>
      <c r="N8" s="33">
        <f>C30*'E Balans VL '!Y18/100/3.6*1000000</f>
        <v>13.750987349226248</v>
      </c>
      <c r="O8" s="33"/>
      <c r="P8" s="33"/>
      <c r="R8" s="32"/>
    </row>
    <row r="9" spans="1:18">
      <c r="A9" s="6" t="s">
        <v>32</v>
      </c>
      <c r="B9" s="37">
        <f t="shared" si="0"/>
        <v>482.70699999999999</v>
      </c>
      <c r="C9" s="33"/>
      <c r="D9" s="37">
        <f>IF( ISERROR(IND_andere_gas_kWh/1000),0,IND_andere_gas_kWh/1000)*0.902</f>
        <v>283.55993599999999</v>
      </c>
      <c r="E9" s="33">
        <f>C31*'E Balans VL '!I19/100/3.6*1000000</f>
        <v>123.17590484822369</v>
      </c>
      <c r="F9" s="33">
        <f>C31*'E Balans VL '!L19/100/3.6*1000000+C31*'E Balans VL '!N19/100/3.6*1000000</f>
        <v>415.57444533136993</v>
      </c>
      <c r="G9" s="34"/>
      <c r="H9" s="33"/>
      <c r="I9" s="33"/>
      <c r="J9" s="40">
        <f>C31*'E Balans VL '!D19/100/3.6*1000000+C31*'E Balans VL '!E19/100/3.6*1000000</f>
        <v>0</v>
      </c>
      <c r="K9" s="33"/>
      <c r="L9" s="33"/>
      <c r="M9" s="33"/>
      <c r="N9" s="33">
        <f>C31*'E Balans VL '!Y19/100/3.6*1000000</f>
        <v>38.079933799629892</v>
      </c>
      <c r="O9" s="33"/>
      <c r="P9" s="33"/>
      <c r="R9" s="32"/>
    </row>
    <row r="10" spans="1:18">
      <c r="A10" s="6" t="s">
        <v>40</v>
      </c>
      <c r="B10" s="37">
        <f t="shared" si="0"/>
        <v>126.866</v>
      </c>
      <c r="C10" s="33"/>
      <c r="D10" s="37">
        <f>IF( ISERROR(IND_voed_gas_kWh/1000),0,IND_voed_gas_kWh/1000)*0.902</f>
        <v>0</v>
      </c>
      <c r="E10" s="33">
        <f>C32*'E Balans VL '!I20/100/3.6*1000000</f>
        <v>3.2251079212935019</v>
      </c>
      <c r="F10" s="33">
        <f>C32*'E Balans VL '!L20/100/3.6*1000000+C32*'E Balans VL '!N20/100/3.6*1000000</f>
        <v>28.707871377102464</v>
      </c>
      <c r="G10" s="34"/>
      <c r="H10" s="33"/>
      <c r="I10" s="33"/>
      <c r="J10" s="40">
        <f>C32*'E Balans VL '!D20/100/3.6*1000000+C32*'E Balans VL '!E20/100/3.6*1000000</f>
        <v>0</v>
      </c>
      <c r="K10" s="33"/>
      <c r="L10" s="33"/>
      <c r="M10" s="33"/>
      <c r="N10" s="33">
        <f>C32*'E Balans VL '!Y20/100/3.6*1000000</f>
        <v>47.578188838192091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113.532</v>
      </c>
      <c r="C15" s="33"/>
      <c r="D15" s="37">
        <f>IF( ISERROR(IND_rest_gas_kWh/1000),0,IND_rest_gas_kWh/1000)*0.902</f>
        <v>236.04438000000002</v>
      </c>
      <c r="E15" s="33">
        <f>C37*'E Balans VL '!I15/100/3.6*1000000</f>
        <v>6.1617097433735717</v>
      </c>
      <c r="F15" s="33">
        <f>C37*'E Balans VL '!L15/100/3.6*1000000+C37*'E Balans VL '!N15/100/3.6*1000000</f>
        <v>24.744726484563976</v>
      </c>
      <c r="G15" s="34"/>
      <c r="H15" s="33"/>
      <c r="I15" s="33"/>
      <c r="J15" s="40">
        <f>C37*'E Balans VL '!D15/100/3.6*1000000+C37*'E Balans VL '!E15/100/3.6*1000000</f>
        <v>0.92041704274227532</v>
      </c>
      <c r="K15" s="33"/>
      <c r="L15" s="33"/>
      <c r="M15" s="33"/>
      <c r="N15" s="33">
        <f>C37*'E Balans VL '!Y15/100/3.6*1000000</f>
        <v>6.3705177599423681</v>
      </c>
      <c r="O15" s="33"/>
      <c r="P15" s="33"/>
      <c r="R15" s="32"/>
    </row>
    <row r="16" spans="1:18">
      <c r="A16" s="16" t="s">
        <v>484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997.47</v>
      </c>
      <c r="C18" s="21">
        <f>C5+C16</f>
        <v>0</v>
      </c>
      <c r="D18" s="21">
        <f>MAX((D5+D16),0)</f>
        <v>519.60431600000004</v>
      </c>
      <c r="E18" s="21">
        <f>MAX((E5+E16),0)</f>
        <v>142.43520522328052</v>
      </c>
      <c r="F18" s="21">
        <f>MAX((F5+F16),0)</f>
        <v>588.83334473663604</v>
      </c>
      <c r="G18" s="21"/>
      <c r="H18" s="21"/>
      <c r="I18" s="21"/>
      <c r="J18" s="21">
        <f>MAX((J5+J16),0)</f>
        <v>0.92041704274227532</v>
      </c>
      <c r="K18" s="21"/>
      <c r="L18" s="21">
        <f>MAX((L5+L16),0)</f>
        <v>0</v>
      </c>
      <c r="M18" s="21"/>
      <c r="N18" s="21">
        <f>MAX((N5+N16),0)</f>
        <v>105.7796277469906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9.084829380125875E-2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90.61844761794157</v>
      </c>
      <c r="C22" s="23">
        <f ca="1">C18*C20</f>
        <v>0</v>
      </c>
      <c r="D22" s="23">
        <f>D18*D20</f>
        <v>104.96007183200001</v>
      </c>
      <c r="E22" s="23">
        <f>E18*E20</f>
        <v>32.332791585684681</v>
      </c>
      <c r="F22" s="23">
        <f>F18*F20</f>
        <v>157.21850304468182</v>
      </c>
      <c r="G22" s="23"/>
      <c r="H22" s="23"/>
      <c r="I22" s="23"/>
      <c r="J22" s="23">
        <f>J18*J20</f>
        <v>0.32582763313076546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274.36500000000001</v>
      </c>
      <c r="C30" s="39">
        <f>IF(ISERROR(B30*3.6/1000000/'E Balans VL '!Z18*100),0,B30*3.6/1000000/'E Balans VL '!Z18*100)</f>
        <v>5.8132061269429373E-2</v>
      </c>
      <c r="D30" s="233" t="s">
        <v>652</v>
      </c>
    </row>
    <row r="31" spans="1:18">
      <c r="A31" s="6" t="s">
        <v>32</v>
      </c>
      <c r="B31" s="37">
        <f>IF( ISERROR(IND_ander_ele_kWh/1000),0,IND_ander_ele_kWh/1000)</f>
        <v>482.70699999999999</v>
      </c>
      <c r="C31" s="39">
        <f>IF(ISERROR(B31*3.6/1000000/'E Balans VL '!Z19*100),0,B31*3.6/1000000/'E Balans VL '!Z19*100)</f>
        <v>2.0318233695955899E-2</v>
      </c>
      <c r="D31" s="233" t="s">
        <v>652</v>
      </c>
    </row>
    <row r="32" spans="1:18">
      <c r="A32" s="168" t="s">
        <v>40</v>
      </c>
      <c r="B32" s="37">
        <f>IF( ISERROR(IND_voed_ele_kWh/1000),0,IND_voed_ele_kWh/1000)</f>
        <v>126.866</v>
      </c>
      <c r="C32" s="39">
        <f>IF(ISERROR(B32*3.6/1000000/'E Balans VL '!Z20*100),0,B32*3.6/1000000/'E Balans VL '!Z20*100)</f>
        <v>2.1194400690068647E-2</v>
      </c>
      <c r="D32" s="233" t="s">
        <v>652</v>
      </c>
    </row>
    <row r="33" spans="1:5">
      <c r="A33" s="168" t="s">
        <v>39</v>
      </c>
      <c r="B33" s="37">
        <f>IF( ISERROR(IND_textiel_ele_kWh/1000),0,IND_textiel_ele_kWh/1000)</f>
        <v>0</v>
      </c>
      <c r="C33" s="39">
        <f>IF(ISERROR(B33*3.6/1000000/'E Balans VL '!Z21*100),0,B33*3.6/1000000/'E Balans VL '!Z21*100)</f>
        <v>0</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0</v>
      </c>
      <c r="C35" s="39">
        <f>IF(ISERROR(B35*3.6/1000000/'E Balans VL '!Z22*100),0,B35*3.6/1000000/'E Balans VL '!Z22*100)</f>
        <v>0</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113.532</v>
      </c>
      <c r="C37" s="39">
        <f>IF(ISERROR(B37*3.6/1000000/'E Balans VL '!Z15*100),0,B37*3.6/1000000/'E Balans VL '!Z15*100)</f>
        <v>9.1658779760532495E-4</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1882.191</v>
      </c>
      <c r="C5" s="17">
        <f>'Eigen informatie GS &amp; warmtenet'!B60</f>
        <v>0</v>
      </c>
      <c r="D5" s="30">
        <f>IF(ISERROR(SUM(LB_lb_gas_kWh,LB_rest_gas_kWh)/1000),0,SUM(LB_lb_gas_kWh,LB_rest_gas_kWh)/1000)*0.902</f>
        <v>123.00483800000001</v>
      </c>
      <c r="E5" s="17">
        <f>B17*'E Balans VL '!I25/3.6*1000000/100</f>
        <v>48.534479112082181</v>
      </c>
      <c r="F5" s="17">
        <f>B17*('E Balans VL '!L25/3.6*1000000+'E Balans VL '!N25/3.6*1000000)/100</f>
        <v>6879.7665508636746</v>
      </c>
      <c r="G5" s="18"/>
      <c r="H5" s="17"/>
      <c r="I5" s="17"/>
      <c r="J5" s="17">
        <f>('E Balans VL '!D25+'E Balans VL '!E25)/3.6*1000000*landbouw!B17/100</f>
        <v>270.96626448513507</v>
      </c>
      <c r="K5" s="17"/>
      <c r="L5" s="17">
        <f>L6*(-1)</f>
        <v>0</v>
      </c>
      <c r="M5" s="17"/>
      <c r="N5" s="17">
        <f>N6*(-1)</f>
        <v>31770.000000000004</v>
      </c>
      <c r="O5" s="17"/>
      <c r="P5" s="17"/>
      <c r="R5" s="32"/>
    </row>
    <row r="6" spans="1:18">
      <c r="A6" s="16" t="s">
        <v>484</v>
      </c>
      <c r="B6" s="17" t="s">
        <v>210</v>
      </c>
      <c r="C6" s="17">
        <f>'lokale energieproductie'!O40+'lokale energieproductie'!O33</f>
        <v>15907.5</v>
      </c>
      <c r="D6" s="302">
        <f>('lokale energieproductie'!P33+'lokale energieproductie'!P40)*(-1)</f>
        <v>-30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1882.191</v>
      </c>
      <c r="C8" s="21">
        <f>C5+C6</f>
        <v>15907.5</v>
      </c>
      <c r="D8" s="21">
        <f>MAX((D5+D6),0)</f>
        <v>93.004838000000007</v>
      </c>
      <c r="E8" s="21">
        <f>MAX((E5+E6),0)</f>
        <v>48.534479112082181</v>
      </c>
      <c r="F8" s="21">
        <f>MAX((F5+F6),0)</f>
        <v>6879.7665508636746</v>
      </c>
      <c r="G8" s="21"/>
      <c r="H8" s="21"/>
      <c r="I8" s="21"/>
      <c r="J8" s="21">
        <f>MAX((J5+J6),0)</f>
        <v>270.96626448513507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9.084829380125875E-2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170.993840958085</v>
      </c>
      <c r="C12" s="23">
        <f ca="1">C8*C10</f>
        <v>3.5661894456467462</v>
      </c>
      <c r="D12" s="23">
        <f>D8*D10</f>
        <v>18.786977276000002</v>
      </c>
      <c r="E12" s="23">
        <f>E8*E10</f>
        <v>11.017326758442655</v>
      </c>
      <c r="F12" s="23">
        <f>F8*F10</f>
        <v>1836.8976690806012</v>
      </c>
      <c r="G12" s="23"/>
      <c r="H12" s="23"/>
      <c r="I12" s="23"/>
      <c r="J12" s="23">
        <f>J8*J10</f>
        <v>95.922057627737814</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0.26540139835363014</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168.71258356007866</v>
      </c>
      <c r="C26" s="243">
        <f>B26*'GWP N2O_CH4'!B5</f>
        <v>3542.9642547616518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48.129820100029988</v>
      </c>
      <c r="C27" s="243">
        <f>B27*'GWP N2O_CH4'!B5</f>
        <v>1010.7262221006298</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2.8354149861692148</v>
      </c>
      <c r="C28" s="243">
        <f>B28*'GWP N2O_CH4'!B4</f>
        <v>878.97864571245657</v>
      </c>
      <c r="D28" s="50"/>
    </row>
    <row r="29" spans="1:4">
      <c r="A29" s="41" t="s">
        <v>272</v>
      </c>
      <c r="B29" s="243">
        <f>B34*'ha_N2O bodem landbouw'!B4</f>
        <v>13.138217988114919</v>
      </c>
      <c r="C29" s="243">
        <f>B29*'GWP N2O_CH4'!B4</f>
        <v>4072.8475763156248</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2.9568129988597493E-3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5.8340143771049604E-5</v>
      </c>
      <c r="C5" s="431" t="s">
        <v>210</v>
      </c>
      <c r="D5" s="416">
        <f>SUM(D6:D11)</f>
        <v>9.9002991688533373E-5</v>
      </c>
      <c r="E5" s="416">
        <f>SUM(E6:E11)</f>
        <v>4.501513348303467E-4</v>
      </c>
      <c r="F5" s="429" t="s">
        <v>210</v>
      </c>
      <c r="G5" s="416">
        <f>SUM(G6:G11)</f>
        <v>0.16214962690259729</v>
      </c>
      <c r="H5" s="416">
        <f>SUM(H6:H11)</f>
        <v>3.1975181635464991E-2</v>
      </c>
      <c r="I5" s="431" t="s">
        <v>210</v>
      </c>
      <c r="J5" s="431" t="s">
        <v>210</v>
      </c>
      <c r="K5" s="431" t="s">
        <v>210</v>
      </c>
      <c r="L5" s="431" t="s">
        <v>210</v>
      </c>
      <c r="M5" s="416">
        <f>SUM(M6:M11)</f>
        <v>6.0595148977624236E-3</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4.2687590218434144E-5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6.7052372884566629E-5</v>
      </c>
      <c r="E6" s="859">
        <f>vkm_GW_PW*SUMIFS(TableVerdeelsleutelVkm[LPG],TableVerdeelsleutelVkm[Voertuigtype],"Lichte voertuigen")*SUMIFS(TableECFTransport[EnergieConsumptieFactor (PJ per km)],TableECFTransport[Index],CONCATENATE($A6,"_LPG_LPG"))</f>
        <v>3.0918038169330337E-4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8.2015482492198352E-2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2.1847972399967195E-2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3.2349989155402658E-3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1.3138659749284178E-6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4.5287656527472464E-2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7.9960577224270672E-7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1.4247516854704186E-3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1.4335773263928572E-5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3.1950618803966744E-5</v>
      </c>
      <c r="E8" s="419">
        <f>vkm_NGW_PW*SUMIFS(TableVerdeelsleutelVkm[LPG],TableVerdeelsleutelVkm[Voertuigtype],"Lichte voertuigen")*SUMIFS(TableECFTransport[EnergieConsumptieFactor (PJ per km)],TableECFTransport[Index],CONCATENATE($A8,"_LPG_LPG"))</f>
        <v>1.4097095313704336E-4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3.4717328439099596E-2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1.0126407488918103E-2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1.395700939098942E-3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2.9143137584737486E-9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1.291594438268905E-4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2.1408074504219951E-9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4.0633576527967014E-6</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16.205595491958224</v>
      </c>
      <c r="C14" s="21"/>
      <c r="D14" s="21">
        <f t="shared" ref="D14:M14" si="0">((D5)*10^9/3600)+D12</f>
        <v>27.500831024592607</v>
      </c>
      <c r="E14" s="21">
        <f t="shared" si="0"/>
        <v>125.04203745287408</v>
      </c>
      <c r="F14" s="21"/>
      <c r="G14" s="21">
        <f t="shared" si="0"/>
        <v>45041.563028499251</v>
      </c>
      <c r="H14" s="21">
        <f t="shared" si="0"/>
        <v>8881.9948987402749</v>
      </c>
      <c r="I14" s="21"/>
      <c r="J14" s="21"/>
      <c r="K14" s="21"/>
      <c r="L14" s="21"/>
      <c r="M14" s="21">
        <f t="shared" si="0"/>
        <v>1683.1985827117842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9.084829380125875E-2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1.4722507004777752</v>
      </c>
      <c r="C18" s="23"/>
      <c r="D18" s="23">
        <f t="shared" ref="D18:M18" si="1">D14*D16</f>
        <v>5.5551678669677074</v>
      </c>
      <c r="E18" s="23">
        <f t="shared" si="1"/>
        <v>28.384542501802418</v>
      </c>
      <c r="F18" s="23"/>
      <c r="G18" s="23">
        <f t="shared" si="1"/>
        <v>12026.097328609301</v>
      </c>
      <c r="H18" s="23">
        <f t="shared" si="1"/>
        <v>2211.6167297863285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1.8030606955129994E-5</v>
      </c>
      <c r="C50" s="313">
        <f t="shared" ref="C50:P50" si="2">SUM(C51:C52)</f>
        <v>0</v>
      </c>
      <c r="D50" s="313">
        <f t="shared" si="2"/>
        <v>0</v>
      </c>
      <c r="E50" s="313">
        <f t="shared" si="2"/>
        <v>0</v>
      </c>
      <c r="F50" s="313">
        <f t="shared" si="2"/>
        <v>0</v>
      </c>
      <c r="G50" s="313">
        <f t="shared" si="2"/>
        <v>3.2148953362940613E-3</v>
      </c>
      <c r="H50" s="313">
        <f t="shared" si="2"/>
        <v>0</v>
      </c>
      <c r="I50" s="313">
        <f t="shared" si="2"/>
        <v>0</v>
      </c>
      <c r="J50" s="313">
        <f t="shared" si="2"/>
        <v>0</v>
      </c>
      <c r="K50" s="313">
        <f t="shared" si="2"/>
        <v>0</v>
      </c>
      <c r="L50" s="313">
        <f t="shared" si="2"/>
        <v>0</v>
      </c>
      <c r="M50" s="313">
        <f t="shared" si="2"/>
        <v>1.0035657582843285E-4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1.8030606955129994E-5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3.2148953362940613E-3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1.0035657582843285E-4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5.0085019319805539</v>
      </c>
      <c r="C54" s="21">
        <f t="shared" ref="C54:P54" si="3">(C50)*10^9/3600</f>
        <v>0</v>
      </c>
      <c r="D54" s="21">
        <f t="shared" si="3"/>
        <v>0</v>
      </c>
      <c r="E54" s="21">
        <f t="shared" si="3"/>
        <v>0</v>
      </c>
      <c r="F54" s="21">
        <f t="shared" si="3"/>
        <v>0</v>
      </c>
      <c r="G54" s="21">
        <f t="shared" si="3"/>
        <v>893.02648230390594</v>
      </c>
      <c r="H54" s="21">
        <f t="shared" si="3"/>
        <v>0</v>
      </c>
      <c r="I54" s="21">
        <f t="shared" si="3"/>
        <v>0</v>
      </c>
      <c r="J54" s="21">
        <f t="shared" si="3"/>
        <v>0</v>
      </c>
      <c r="K54" s="21">
        <f t="shared" si="3"/>
        <v>0</v>
      </c>
      <c r="L54" s="21">
        <f t="shared" si="3"/>
        <v>0</v>
      </c>
      <c r="M54" s="21">
        <f t="shared" si="3"/>
        <v>27.876826619009126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9.084829380125875E-2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0.45501385502074143</v>
      </c>
      <c r="C58" s="23">
        <f t="shared" ref="C58:P58" ca="1" si="4">C54*C56</f>
        <v>0</v>
      </c>
      <c r="D58" s="23">
        <f t="shared" si="4"/>
        <v>0</v>
      </c>
      <c r="E58" s="23">
        <f t="shared" si="4"/>
        <v>0</v>
      </c>
      <c r="F58" s="23">
        <f t="shared" si="4"/>
        <v>0</v>
      </c>
      <c r="G58" s="23">
        <f t="shared" si="4"/>
        <v>238.4380707751429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3529.1593248702447</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N30</f>
        <v>11124</v>
      </c>
      <c r="C8" s="538">
        <f>B49</f>
        <v>12.345596803728982</v>
      </c>
      <c r="D8" s="1003"/>
      <c r="E8" s="1003">
        <f>E49</f>
        <v>0</v>
      </c>
      <c r="F8" s="1004"/>
      <c r="G8" s="539"/>
      <c r="H8" s="1003">
        <f>I49</f>
        <v>0</v>
      </c>
      <c r="I8" s="1003">
        <f>G49+F49</f>
        <v>0</v>
      </c>
      <c r="J8" s="1003">
        <f>H49+D49+C49</f>
        <v>13073.987015148994</v>
      </c>
      <c r="K8" s="1003"/>
      <c r="L8" s="1003"/>
      <c r="M8" s="1003"/>
      <c r="N8" s="540"/>
      <c r="O8" s="541">
        <f>C8*$C$12+D8*$D$12+E8*$E$12+F8*$F$12+G8*$G$12+H8*$H$12+I8*$I$12+J8*$J$12</f>
        <v>2.4938105543532547</v>
      </c>
      <c r="P8" s="1238"/>
      <c r="Q8" s="1239"/>
      <c r="S8" s="967"/>
      <c r="T8" s="1259"/>
      <c r="U8" s="1259"/>
    </row>
    <row r="9" spans="1:21" s="527" customFormat="1" ht="17.45" customHeight="1" thickBot="1">
      <c r="A9" s="542" t="s">
        <v>243</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14653.159324870245</v>
      </c>
      <c r="C10" s="551">
        <f t="shared" ref="C10:L10" si="0">SUM(C8:C9)</f>
        <v>12.345596803728982</v>
      </c>
      <c r="D10" s="551">
        <f t="shared" si="0"/>
        <v>0</v>
      </c>
      <c r="E10" s="551">
        <f t="shared" si="0"/>
        <v>0</v>
      </c>
      <c r="F10" s="551">
        <f t="shared" si="0"/>
        <v>0</v>
      </c>
      <c r="G10" s="551">
        <f t="shared" si="0"/>
        <v>0</v>
      </c>
      <c r="H10" s="551">
        <f t="shared" si="0"/>
        <v>0</v>
      </c>
      <c r="I10" s="551">
        <f t="shared" si="0"/>
        <v>0</v>
      </c>
      <c r="J10" s="551">
        <f t="shared" si="0"/>
        <v>13073.987015148994</v>
      </c>
      <c r="K10" s="551">
        <f t="shared" si="0"/>
        <v>0</v>
      </c>
      <c r="L10" s="551">
        <f t="shared" si="0"/>
        <v>0</v>
      </c>
      <c r="M10" s="1006"/>
      <c r="N10" s="1006"/>
      <c r="O10" s="552">
        <f>SUM(O4:O9)</f>
        <v>2.4938105543532547</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O30</f>
        <v>15907.5</v>
      </c>
      <c r="C17" s="563">
        <f>B50</f>
        <v>17.654403196271019</v>
      </c>
      <c r="D17" s="564"/>
      <c r="E17" s="564">
        <f>E50</f>
        <v>0</v>
      </c>
      <c r="F17" s="1009"/>
      <c r="G17" s="565"/>
      <c r="H17" s="563">
        <f>I50</f>
        <v>0</v>
      </c>
      <c r="I17" s="564">
        <f>G50+F50</f>
        <v>0</v>
      </c>
      <c r="J17" s="564">
        <f>H50+D50+C50</f>
        <v>18696.012984851011</v>
      </c>
      <c r="K17" s="564"/>
      <c r="L17" s="564"/>
      <c r="M17" s="564"/>
      <c r="N17" s="1010"/>
      <c r="O17" s="566">
        <f>C17*$C$22+E17*$E$22+H17*$H$22+I17*$I$22+J17*$J$22+D17*$D$22+F17*$F$22+G17*$G$22+K17*$K$22+L17*$L$22</f>
        <v>3.5661894456467462</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15907.5</v>
      </c>
      <c r="C20" s="550">
        <f>SUM(C17:C19)</f>
        <v>17.654403196271019</v>
      </c>
      <c r="D20" s="550">
        <f t="shared" ref="D20:L20" si="1">SUM(D17:D19)</f>
        <v>0</v>
      </c>
      <c r="E20" s="550">
        <f t="shared" si="1"/>
        <v>0</v>
      </c>
      <c r="F20" s="550">
        <f t="shared" si="1"/>
        <v>0</v>
      </c>
      <c r="G20" s="550">
        <f t="shared" si="1"/>
        <v>0</v>
      </c>
      <c r="H20" s="550">
        <f t="shared" si="1"/>
        <v>0</v>
      </c>
      <c r="I20" s="550">
        <f t="shared" si="1"/>
        <v>0</v>
      </c>
      <c r="J20" s="550">
        <f t="shared" si="1"/>
        <v>18696.012984851011</v>
      </c>
      <c r="K20" s="550">
        <f t="shared" si="1"/>
        <v>0</v>
      </c>
      <c r="L20" s="550">
        <f t="shared" si="1"/>
        <v>0</v>
      </c>
      <c r="M20" s="550"/>
      <c r="N20" s="550"/>
      <c r="O20" s="569">
        <f>SUM(O17:O19)</f>
        <v>3.5661894456467462</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25.5">
      <c r="A28" s="573"/>
      <c r="B28" s="764">
        <v>73040</v>
      </c>
      <c r="C28" s="764">
        <v>3724</v>
      </c>
      <c r="D28" s="621" t="s">
        <v>912</v>
      </c>
      <c r="E28" s="620" t="s">
        <v>913</v>
      </c>
      <c r="F28" s="620" t="s">
        <v>914</v>
      </c>
      <c r="G28" s="620" t="s">
        <v>915</v>
      </c>
      <c r="H28" s="620" t="s">
        <v>916</v>
      </c>
      <c r="I28" s="620" t="s">
        <v>917</v>
      </c>
      <c r="J28" s="763">
        <v>40717</v>
      </c>
      <c r="K28" s="763">
        <v>39951</v>
      </c>
      <c r="L28" s="620" t="s">
        <v>918</v>
      </c>
      <c r="M28" s="620">
        <v>2471</v>
      </c>
      <c r="N28" s="620">
        <v>11119.5</v>
      </c>
      <c r="O28" s="620">
        <v>15885</v>
      </c>
      <c r="P28" s="620">
        <v>0</v>
      </c>
      <c r="Q28" s="620">
        <v>31770.000000000004</v>
      </c>
      <c r="R28" s="620">
        <v>0</v>
      </c>
      <c r="S28" s="620">
        <v>0</v>
      </c>
      <c r="T28" s="620">
        <v>0</v>
      </c>
      <c r="U28" s="620">
        <v>0</v>
      </c>
      <c r="V28" s="620">
        <v>0</v>
      </c>
      <c r="W28" s="620">
        <v>0</v>
      </c>
      <c r="X28" s="620">
        <v>10</v>
      </c>
      <c r="Y28" s="620" t="s">
        <v>111</v>
      </c>
      <c r="Z28" s="622" t="s">
        <v>111</v>
      </c>
    </row>
    <row r="29" spans="1:26" s="574" customFormat="1" ht="25.5">
      <c r="A29" s="573"/>
      <c r="B29" s="764">
        <v>73040</v>
      </c>
      <c r="C29" s="764">
        <v>3721</v>
      </c>
      <c r="D29" s="621" t="s">
        <v>919</v>
      </c>
      <c r="E29" s="620" t="s">
        <v>920</v>
      </c>
      <c r="F29" s="620" t="s">
        <v>921</v>
      </c>
      <c r="G29" s="620" t="s">
        <v>922</v>
      </c>
      <c r="H29" s="620" t="s">
        <v>922</v>
      </c>
      <c r="I29" s="620" t="s">
        <v>920</v>
      </c>
      <c r="J29" s="763">
        <v>41073</v>
      </c>
      <c r="K29" s="763">
        <v>41214</v>
      </c>
      <c r="L29" s="620" t="s">
        <v>918</v>
      </c>
      <c r="M29" s="620">
        <v>1</v>
      </c>
      <c r="N29" s="620">
        <v>4.5</v>
      </c>
      <c r="O29" s="620">
        <v>22.5</v>
      </c>
      <c r="P29" s="620">
        <v>30</v>
      </c>
      <c r="Q29" s="620">
        <v>0</v>
      </c>
      <c r="R29" s="620">
        <v>0</v>
      </c>
      <c r="S29" s="620">
        <v>0</v>
      </c>
      <c r="T29" s="620">
        <v>0</v>
      </c>
      <c r="U29" s="620">
        <v>0</v>
      </c>
      <c r="V29" s="620">
        <v>0</v>
      </c>
      <c r="W29" s="620">
        <v>0</v>
      </c>
      <c r="X29" s="620">
        <v>10</v>
      </c>
      <c r="Y29" s="620" t="s">
        <v>111</v>
      </c>
      <c r="Z29" s="622" t="s">
        <v>111</v>
      </c>
    </row>
    <row r="30" spans="1:26" s="558" customFormat="1">
      <c r="A30" s="576" t="s">
        <v>275</v>
      </c>
      <c r="B30" s="577"/>
      <c r="C30" s="577"/>
      <c r="D30" s="577"/>
      <c r="E30" s="577"/>
      <c r="F30" s="577"/>
      <c r="G30" s="577"/>
      <c r="H30" s="577"/>
      <c r="I30" s="577"/>
      <c r="J30" s="577"/>
      <c r="K30" s="577"/>
      <c r="L30" s="578"/>
      <c r="M30" s="578">
        <f>SUM(M28:M29)</f>
        <v>2472</v>
      </c>
      <c r="N30" s="578">
        <f>SUM(N28:N29)</f>
        <v>11124</v>
      </c>
      <c r="O30" s="578">
        <f>SUM(O28:O29)</f>
        <v>15907.5</v>
      </c>
      <c r="P30" s="578">
        <f>SUM(P28:P29)</f>
        <v>30</v>
      </c>
      <c r="Q30" s="578">
        <f>SUM(Q28:Q29)</f>
        <v>31770.000000000004</v>
      </c>
      <c r="R30" s="578">
        <f>SUM(R28:R29)</f>
        <v>0</v>
      </c>
      <c r="S30" s="578">
        <f>SUM(S28:S29)</f>
        <v>0</v>
      </c>
      <c r="T30" s="578">
        <f>SUM(T28:T29)</f>
        <v>0</v>
      </c>
      <c r="U30" s="578">
        <f>SUM(U28:U29)</f>
        <v>0</v>
      </c>
      <c r="V30" s="578">
        <f>SUM(V28:V29)</f>
        <v>0</v>
      </c>
      <c r="W30" s="578">
        <f>SUM(W28:W29)</f>
        <v>0</v>
      </c>
      <c r="X30" s="579"/>
      <c r="Y30" s="579"/>
      <c r="Z30" s="580"/>
    </row>
    <row r="31" spans="1:26" s="558" customFormat="1">
      <c r="A31" s="576" t="s">
        <v>282</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283</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284</v>
      </c>
      <c r="B33" s="582"/>
      <c r="C33" s="582"/>
      <c r="D33" s="582"/>
      <c r="E33" s="582"/>
      <c r="F33" s="582"/>
      <c r="G33" s="582"/>
      <c r="H33" s="582"/>
      <c r="I33" s="582"/>
      <c r="J33" s="582"/>
      <c r="K33" s="582"/>
      <c r="L33" s="583"/>
      <c r="M33" s="583">
        <f>SUMIF($Z$28:$Z$29,"landbouw",M28:M29)</f>
        <v>2472</v>
      </c>
      <c r="N33" s="583">
        <f>SUMIF($Z$28:$Z$29,"landbouw",N28:N29)</f>
        <v>11124</v>
      </c>
      <c r="O33" s="583">
        <f>SUMIF($Z$28:$Z$29,"landbouw",O28:O29)</f>
        <v>15907.5</v>
      </c>
      <c r="P33" s="583">
        <f>SUMIF($Z$28:$Z$29,"landbouw",P28:P29)</f>
        <v>30</v>
      </c>
      <c r="Q33" s="583">
        <f>SUMIF($Z$28:$Z$29,"landbouw",Q28:Q29)</f>
        <v>31770.000000000004</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276</v>
      </c>
      <c r="B35" s="617" t="s">
        <v>89</v>
      </c>
      <c r="C35" s="617" t="s">
        <v>90</v>
      </c>
      <c r="D35" s="617" t="s">
        <v>91</v>
      </c>
      <c r="E35" s="617" t="s">
        <v>92</v>
      </c>
      <c r="F35" s="617" t="s">
        <v>93</v>
      </c>
      <c r="G35" s="617" t="s">
        <v>94</v>
      </c>
      <c r="H35" s="617" t="s">
        <v>95</v>
      </c>
      <c r="I35" s="617" t="s">
        <v>96</v>
      </c>
      <c r="J35" s="617" t="s">
        <v>97</v>
      </c>
      <c r="K35" s="617" t="s">
        <v>98</v>
      </c>
      <c r="L35" s="617" t="s">
        <v>99</v>
      </c>
      <c r="M35" s="618" t="s">
        <v>293</v>
      </c>
      <c r="N35" s="618" t="s">
        <v>100</v>
      </c>
      <c r="O35" s="618" t="s">
        <v>101</v>
      </c>
      <c r="P35" s="618" t="s">
        <v>530</v>
      </c>
      <c r="Q35" s="618" t="s">
        <v>102</v>
      </c>
      <c r="R35" s="618" t="s">
        <v>103</v>
      </c>
      <c r="S35" s="618" t="s">
        <v>104</v>
      </c>
      <c r="T35" s="618" t="s">
        <v>105</v>
      </c>
      <c r="U35" s="618" t="s">
        <v>106</v>
      </c>
      <c r="V35" s="618" t="s">
        <v>107</v>
      </c>
      <c r="W35" s="617" t="s">
        <v>108</v>
      </c>
      <c r="X35" s="617" t="s">
        <v>294</v>
      </c>
      <c r="Y35" s="617" t="s">
        <v>109</v>
      </c>
      <c r="Z35" s="619" t="s">
        <v>295</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275</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282</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283</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284</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277</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278</v>
      </c>
      <c r="C45" s="600" t="s">
        <v>279</v>
      </c>
      <c r="D45" s="600"/>
      <c r="E45" s="600"/>
      <c r="F45" s="600"/>
      <c r="G45" s="600"/>
      <c r="H45" s="600"/>
      <c r="I45" s="601"/>
      <c r="J45" s="600"/>
      <c r="K45" s="600"/>
      <c r="L45" s="600"/>
      <c r="M45" s="600"/>
      <c r="N45" s="600"/>
      <c r="O45" s="600"/>
      <c r="P45" s="595"/>
    </row>
    <row r="46" spans="1:27">
      <c r="A46" s="597" t="s">
        <v>275</v>
      </c>
      <c r="B46" s="602">
        <f>IF(ISERROR(O30/(O30+N30)),0,O30/(O30+N30))</f>
        <v>0.58848010654236727</v>
      </c>
      <c r="C46" s="603">
        <f>IF(ISERROR(N30/(O30+N30)),0,N30/(N30+O30))</f>
        <v>0.41151989345763273</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530</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280</v>
      </c>
      <c r="B49" s="612">
        <f t="shared" ref="B49:I49" si="2">$C$46*P30</f>
        <v>12.345596803728982</v>
      </c>
      <c r="C49" s="612">
        <f t="shared" si="2"/>
        <v>13073.987015148994</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281</v>
      </c>
      <c r="B50" s="615">
        <f t="shared" ref="B50:I50" si="3">$B$46*P30</f>
        <v>17.654403196271019</v>
      </c>
      <c r="C50" s="615">
        <f t="shared" si="3"/>
        <v>18696.012984851011</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2021-06-29T16:04:13Z</dcterms:modified>
</cp:coreProperties>
</file>