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C64" i="14" s="1"/>
  <c r="D14" i="4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F13" i="15" l="1"/>
  <c r="P32" i="48"/>
  <c r="O32" i="48"/>
  <c r="R25" i="14"/>
  <c r="O31" i="48"/>
  <c r="P31" i="48"/>
  <c r="F20" i="18"/>
  <c r="L6" i="17"/>
  <c r="O25" i="48"/>
  <c r="D13" i="15"/>
  <c r="N6" i="17"/>
  <c r="B45" i="18"/>
  <c r="F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H49" i="18"/>
  <c r="D49" i="18"/>
  <c r="G49" i="18"/>
  <c r="C49" i="18"/>
  <c r="Q14" i="48"/>
  <c r="O24" i="48"/>
  <c r="O30" i="48"/>
  <c r="P24" i="48"/>
  <c r="P30" i="48"/>
  <c r="E78" i="14"/>
  <c r="E90" i="14"/>
  <c r="N78" i="14"/>
  <c r="I49" i="18" l="1"/>
  <c r="H17" i="18" s="1"/>
  <c r="B49" i="18"/>
  <c r="C17" i="18" s="1"/>
  <c r="B48" i="18"/>
  <c r="C8" i="18" s="1"/>
  <c r="C10" i="18" s="1"/>
  <c r="D48" i="18"/>
  <c r="J8" i="18"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17"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5" i="16"/>
  <c r="B36" i="13"/>
  <c r="B35" i="13"/>
  <c r="C35" i="13" s="1"/>
  <c r="B34" i="13"/>
  <c r="B33" i="13"/>
  <c r="B32"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<sst xmlns="http://schemas.openxmlformats.org/spreadsheetml/2006/main" count="2489" uniqueCount="912">
  <si>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</si>
  <si>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</si>
  <si>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</si>
  <si>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</si>
  <si>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</si>
  <si>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</si>
  <si>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</si>
  <si>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</si>
  <si>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</si>
  <si>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</si>
  <si>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</si>
  <si>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</si>
  <si>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</si>
  <si>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</si>
  <si>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</si>
  <si>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</si>
  <si>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</si>
  <si>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</si>
  <si>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</si>
  <si>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</si>
  <si>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</si>
  <si>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</si>
  <si>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</si>
  <si>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</si>
  <si>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</si>
  <si>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</si>
  <si>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</si>
  <si>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</si>
  <si>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</si>
  <si>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</si>
  <si>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</si>
  <si>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</si>
  <si>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</si>
  <si>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</si>
  <si>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</si>
  <si>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</si>
  <si>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</si>
  <si>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</si>
  <si>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</si>
  <si>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</si>
  <si>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</si>
  <si>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</si>
  <si>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</si>
  <si>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</si>
  <si>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</si>
  <si>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</si>
  <si>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</si>
  <si>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</si>
  <si>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</si>
  <si>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</si>
  <si>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</si>
  <si>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</si>
  <si>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</si>
  <si>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</si>
  <si>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</si>
  <si>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</si>
  <si>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</si>
  <si>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</si>
  <si>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</si>
  <si>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</si>
  <si>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</si>
  <si>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</si>
  <si>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</si>
  <si>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</si>
  <si>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</si>
  <si>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</si>
  <si>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</si>
  <si>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</si>
  <si>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</si>
  <si>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</si>
  <si>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</si>
  <si>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</si>
  <si>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</si>
  <si>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</si>
  <si>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</si>
  <si>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</si>
  <si>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</si>
  <si>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</si>
  <si>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</si>
  <si>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</si>
  <si>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</si>
  <si>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</si>
  <si>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</si>
  <si>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</si>
  <si>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</si>
  <si>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</si>
  <si>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</si>
  <si>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</si>
  <si>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</si>
  <si>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</si>
  <si>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</si>
  <si>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</si>
  <si>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</si>
  <si>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</si>
  <si>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</si>
  <si>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</si>
  <si>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</si>
  <si>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</si>
  <si>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</si>
  <si>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</si>
  <si>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</si>
  <si>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</si>
  <si>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</si>
  <si>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</si>
  <si>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</si>
  <si>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</si>
  <si>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</si>
  <si>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</si>
  <si>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</si>
  <si>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</si>
  <si>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</si>
  <si>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</si>
  <si>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</si>
  <si>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</si>
  <si>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</si>
  <si>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</si>
  <si>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</si>
  <si>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</si>
  <si>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</si>
  <si>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</si>
  <si>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</si>
  <si>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</si>
  <si>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</si>
  <si>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</si>
  <si>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</si>
  <si>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</si>
  <si>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</si>
  <si>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</si>
  <si>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</si>
  <si>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</si>
  <si>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</si>
  <si>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</si>
  <si>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</si>
  <si>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</si>
  <si>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</si>
  <si>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</si>
  <si>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</si>
  <si>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</si>
  <si>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</si>
  <si>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</si>
  <si>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</si>
  <si>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</si>
  <si>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</si>
  <si>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</si>
  <si>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</si>
  <si>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</si>
  <si>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</si>
  <si>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</si>
  <si>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</si>
  <si>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</si>
  <si>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</si>
  <si>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</si>
  <si>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</si>
  <si>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</si>
  <si>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</si>
  <si>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</si>
  <si>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</si>
  <si>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</si>
  <si>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</si>
  <si>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</si>
  <si>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</si>
  <si>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</si>
  <si>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</si>
  <si>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</si>
  <si>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</si>
  <si>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</si>
  <si>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</si>
  <si>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</si>
  <si>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</si>
  <si>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</si>
  <si>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</si>
  <si>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</si>
  <si>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</si>
  <si>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</si>
  <si>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</si>
  <si>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</si>
  <si>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</si>
  <si>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</si>
  <si>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</si>
  <si>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</si>
  <si>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</si>
  <si>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</si>
  <si>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</si>
  <si>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</si>
  <si>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</si>
  <si>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</si>
  <si>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</si>
  <si>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</si>
  <si>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</si>
  <si>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</si>
  <si>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</si>
  <si>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</si>
  <si>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</si>
  <si>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</si>
  <si>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</si>
  <si>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</si>
  <si>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</si>
  <si>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</si>
  <si>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</si>
  <si>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</si>
  <si>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</si>
  <si>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</si>
  <si>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</si>
  <si>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</si>
  <si>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</si>
  <si>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</si>
  <si>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</si>
  <si>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</si>
  <si>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</si>
  <si>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</si>
  <si>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</si>
  <si>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</si>
  <si>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</si>
  <si>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</si>
  <si>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</si>
  <si>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</si>
  <si>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</si>
  <si>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</si>
  <si>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</si>
  <si>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</si>
  <si>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</si>
  <si>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</si>
  <si>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</si>
  <si>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</si>
  <si>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</si>
  <si>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</si>
  <si>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</si>
  <si>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</si>
  <si>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</si>
  <si>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</si>
  <si>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</si>
  <si>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</si>
  <si>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</si>
  <si>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</si>
  <si>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</si>
  <si>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</si>
  <si>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</si>
  <si>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</si>
  <si>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</si>
  <si>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</si>
  <si>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</si>
  <si>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</si>
  <si>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</si>
  <si>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</si>
  <si>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</si>
  <si>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</si>
  <si>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</si>
  <si>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</si>
  <si>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</si>
  <si>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</si>
  <si>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</si>
  <si>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</si>
  <si>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</si>
  <si>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</si>
  <si>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</si>
  <si>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</si>
  <si>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</si>
  <si>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</si>
  <si>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</si>
  <si>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</si>
  <si>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</si>
  <si>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</si>
  <si>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</si>
  <si>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</si>
  <si>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</si>
  <si>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</si>
  <si>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</si>
  <si>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</si>
  <si>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</si>
  <si>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</si>
  <si>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</si>
  <si>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</si>
  <si>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</si>
  <si>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</si>
  <si>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</si>
  <si>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</si>
  <si>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</si>
  <si>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</si>
  <si>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</si>
  <si>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</si>
  <si>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</si>
  <si>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</si>
  <si>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</si>
  <si>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</si>
  <si>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</si>
  <si>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</si>
  <si>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</si>
  <si>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</si>
  <si>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</si>
  <si>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</si>
  <si>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</si>
  <si>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</si>
  <si>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</si>
  <si>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</si>
  <si>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</si>
  <si>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</si>
  <si>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</si>
  <si>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</si>
  <si>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</si>
  <si>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</si>
  <si>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</si>
  <si>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</si>
  <si>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</si>
  <si>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</si>
  <si>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</si>
  <si>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</si>
  <si>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</si>
  <si>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</si>
  <si>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</si>
  <si>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</si>
  <si>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</si>
  <si>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</si>
  <si>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</si>
  <si>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</si>
  <si>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</si>
  <si>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</si>
  <si>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</si>
  <si>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</si>
  <si>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</si>
  <si>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</si>
  <si>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</si>
  <si>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</si>
  <si>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</si>
  <si>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</si>
  <si>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</si>
  <si>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</si>
  <si>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</si>
  <si>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</si>
  <si>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</si>
  <si>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</si>
  <si>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</si>
  <si>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</si>
  <si>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</si>
  <si>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</si>
  <si>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</si>
  <si>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</si>
  <si>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</si>
  <si>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</si>
  <si>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</si>
  <si>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</si>
  <si>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</si>
  <si>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</si>
  <si>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</si>
  <si>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</si>
  <si>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</si>
  <si>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</si>
  <si>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</si>
  <si>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</si>
  <si>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</si>
  <si>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</si>
  <si>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</si>
  <si>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</si>
  <si>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</si>
  <si>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</si>
  <si>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</si>
  <si>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</si>
  <si>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</si>
  <si>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</si>
  <si>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</si>
  <si>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</si>
  <si>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</si>
  <si>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</si>
  <si>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</si>
  <si>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</si>
  <si>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</si>
  <si>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</si>
  <si>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</si>
  <si>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</si>
  <si>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</si>
  <si>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</si>
  <si>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</si>
  <si>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</si>
  <si>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</si>
  <si>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</si>
  <si>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</si>
  <si>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</si>
  <si>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</si>
  <si>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</si>
  <si>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</si>
  <si>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</si>
  <si>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</si>
  <si>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</si>
  <si>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</si>
  <si>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</si>
  <si>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</si>
  <si>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</si>
  <si>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</si>
  <si>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</si>
  <si>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</si>
  <si>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</si>
  <si>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</si>
  <si>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</si>
  <si>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</si>
  <si>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</si>
  <si>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</si>
  <si>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</si>
  <si>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</si>
  <si>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</si>
  <si>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</si>
  <si>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</si>
  <si>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</si>
  <si>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</si>
  <si>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</si>
  <si>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</si>
  <si>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</si>
  <si>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</si>
  <si>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</si>
  <si>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</si>
  <si>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</si>
  <si>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</si>
  <si>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</si>
  <si>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</si>
  <si>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</si>
  <si>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</si>
  <si>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</si>
  <si>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</si>
  <si>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</si>
  <si>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</si>
  <si>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</si>
  <si>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</si>
  <si>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</si>
  <si>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</si>
  <si>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</si>
  <si>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</si>
  <si>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</si>
  <si>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</si>
  <si>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</si>
  <si>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</si>
  <si>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</si>
  <si>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</si>
  <si>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</si>
  <si>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</si>
  <si>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</si>
  <si>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</si>
  <si>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</si>
  <si>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</si>
  <si>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</si>
  <si>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</si>
  <si>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</si>
  <si>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</si>
  <si>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</si>
  <si>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</si>
  <si>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</si>
  <si>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</si>
  <si>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</si>
  <si>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</si>
  <si>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</si>
  <si>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</si>
  <si>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</si>
  <si>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</si>
  <si>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</si>
  <si>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</si>
  <si>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</si>
  <si>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</si>
  <si>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</si>
  <si>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</si>
  <si>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</si>
  <si>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</si>
  <si>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</si>
  <si>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</si>
  <si>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</si>
  <si>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</si>
  <si>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</si>
  <si>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</si>
  <si>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</si>
  <si>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</si>
  <si>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</si>
  <si>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</si>
  <si>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</si>
  <si>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</si>
  <si>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</si>
  <si>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</si>
  <si>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</si>
  <si>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</si>
  <si>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</si>
  <si>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</si>
  <si>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</si>
  <si>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</si>
  <si>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</si>
  <si>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</si>
  <si>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</si>
  <si>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</si>
  <si>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</si>
  <si>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</si>
  <si>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</si>
  <si>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</si>
  <si>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</si>
  <si>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</si>
  <si>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</si>
  <si>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</si>
  <si>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</si>
  <si>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</si>
  <si>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</si>
  <si>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</si>
  <si>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</si>
  <si>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</si>
  <si>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</si>
  <si>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</si>
  <si>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</si>
  <si>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</si>
  <si>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</si>
  <si>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</si>
  <si>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</si>
  <si>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</si>
  <si>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</si>
  <si>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</si>
  <si>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</si>
  <si>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</si>
  <si>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</si>
  <si>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</si>
  <si>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</si>
  <si>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</si>
  <si>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</si>
  <si>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</si>
  <si>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</si>
  <si>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</si>
  <si>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</si>
  <si>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</si>
  <si>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</si>
  <si>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</si>
  <si>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</si>
  <si>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</si>
  <si>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</si>
  <si>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</si>
  <si>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</si>
  <si>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</si>
  <si>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</si>
  <si>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</si>
  <si>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</si>
  <si>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</si>
  <si>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</si>
  <si>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</si>
  <si>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</si>
  <si>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</si>
  <si>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</si>
  <si>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</si>
  <si>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</si>
  <si>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</si>
  <si>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</si>
  <si>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</si>
  <si>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</si>
  <si>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</si>
  <si>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</si>
  <si>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</si>
  <si>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</si>
  <si>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</si>
  <si>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</si>
  <si>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</si>
  <si>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</si>
  <si>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</si>
  <si>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</si>
  <si>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</si>
  <si>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</si>
  <si>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</si>
  <si>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</si>
  <si>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</si>
  <si>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</si>
  <si>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</si>
  <si>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</si>
  <si>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</si>
  <si>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</si>
  <si>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</si>
  <si>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</si>
  <si>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</si>
  <si>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</si>
  <si>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</si>
  <si>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</si>
  <si>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</si>
  <si>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</si>
  <si>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</si>
  <si>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</si>
  <si>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</si>
  <si>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</si>
  <si>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</si>
  <si>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</si>
  <si>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</si>
  <si>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</si>
  <si>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</si>
  <si>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</si>
  <si>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</si>
  <si>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</si>
  <si>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</si>
  <si>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</si>
  <si>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</si>
  <si>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</si>
  <si>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</si>
  <si>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</si>
  <si>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</si>
  <si>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</si>
  <si>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</si>
  <si>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</si>
  <si>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</si>
  <si>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</si>
  <si>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</si>
  <si>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</si>
  <si>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</si>
  <si>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</si>
  <si>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</si>
  <si>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</si>
  <si>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</si>
  <si>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</si>
  <si>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</si>
  <si>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</si>
  <si>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</si>
  <si>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</si>
  <si>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</si>
  <si>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</si>
  <si>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</si>
  <si>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</si>
  <si>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</si>
  <si>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</si>
  <si>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</si>
  <si>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</si>
  <si>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</si>
  <si>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</si>
  <si>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</si>
  <si>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</si>
  <si>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</si>
  <si>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</si>
  <si>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</si>
  <si>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</si>
  <si>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</si>
  <si>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</si>
  <si>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</si>
  <si>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</si>
  <si>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</si>
  <si>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</si>
  <si>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</si>
  <si>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</si>
  <si>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</si>
  <si>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</si>
  <si>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</si>
  <si>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</si>
  <si>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</si>
  <si>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</si>
  <si>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</si>
  <si>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</si>
  <si>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</si>
  <si>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</si>
  <si>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</si>
  <si>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</si>
  <si>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</si>
  <si>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</si>
  <si>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</si>
  <si>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</si>
  <si>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</si>
  <si>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</si>
  <si>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</si>
  <si>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</si>
  <si>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</si>
  <si>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</si>
  <si>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</si>
  <si>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</si>
  <si>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</si>
  <si>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</si>
  <si>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</si>
  <si>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</si>
  <si>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</si>
  <si>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</si>
  <si>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</si>
  <si>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</si>
  <si>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</si>
  <si>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</si>
  <si>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</si>
  <si>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</si>
  <si>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</si>
  <si>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</si>
  <si>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</si>
  <si>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</si>
  <si>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</si>
  <si>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</si>
  <si>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</si>
  <si>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</si>
  <si>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</si>
  <si>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</si>
  <si>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</si>
  <si>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</si>
  <si>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</si>
  <si>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</si>
  <si>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</si>
  <si>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</si>
  <si>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</si>
  <si>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</si>
  <si>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</si>
  <si>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</si>
  <si>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</si>
  <si>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</si>
  <si>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</si>
  <si>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</si>
  <si>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</si>
  <si>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</si>
  <si>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</si>
  <si>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</si>
  <si>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</si>
  <si>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</si>
  <si>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</si>
  <si>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</si>
  <si>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</si>
  <si>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</si>
  <si>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</si>
  <si>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</si>
  <si>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</si>
  <si>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</si>
  <si>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</si>
  <si>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</si>
  <si>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</si>
  <si>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</si>
  <si>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</si>
  <si>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</si>
  <si>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</si>
  <si>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</si>
  <si>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</si>
  <si>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</si>
  <si>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</si>
  <si>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</si>
  <si>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</si>
  <si>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</si>
  <si>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</si>
  <si>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</si>
  <si>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</si>
  <si>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</si>
  <si>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</si>
  <si>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</si>
  <si>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</si>
  <si>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</si>
  <si>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</si>
  <si>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</si>
  <si>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</si>
  <si>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</si>
  <si>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</si>
  <si>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</si>
  <si>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</si>
  <si>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</si>
  <si>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</si>
  <si>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</si>
  <si>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</si>
  <si>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</si>
  <si>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</si>
  <si>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</si>
  <si>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</si>
  <si>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</si>
  <si>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</si>
  <si>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</si>
  <si>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</si>
  <si>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</si>
  <si>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</si>
  <si>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</si>
  <si>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</si>
  <si>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</si>
  <si>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</si>
  <si>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</si>
  <si>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</si>
  <si>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</si>
  <si>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</si>
  <si>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</si>
  <si>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</si>
  <si>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</si>
  <si>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</si>
  <si>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</si>
  <si>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</si>
  <si>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</si>
  <si>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</si>
  <si>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</si>
  <si>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</si>
  <si>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</si>
  <si>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</si>
  <si>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</si>
  <si>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</si>
  <si>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</si>
  <si>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</si>
  <si>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</si>
  <si>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</si>
  <si>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</si>
  <si>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</si>
  <si>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</si>
  <si>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</si>
  <si>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</si>
  <si>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</si>
  <si>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</si>
  <si>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</si>
  <si>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</si>
  <si>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</si>
  <si>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</si>
  <si>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</si>
  <si>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</si>
  <si>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</si>
  <si>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</si>
  <si>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</si>
  <si>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</si>
  <si>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</si>
  <si>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</si>
  <si>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</si>
  <si>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</si>
  <si>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</si>
  <si>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</si>
  <si>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</si>
  <si>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</si>
  <si>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</si>
  <si>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</si>
  <si>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</si>
  <si>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</si>
  <si>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</si>
  <si>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</si>
  <si>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</si>
  <si>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</si>
  <si>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</si>
  <si>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</si>
  <si>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</si>
  <si>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</si>
  <si>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</si>
  <si>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</si>
  <si>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</si>
  <si>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</si>
  <si>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</si>
  <si>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</si>
  <si>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</si>
  <si>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</si>
  <si>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</si>
  <si>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</si>
  <si>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</si>
  <si>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</si>
  <si>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</si>
  <si>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</si>
  <si>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</si>
  <si>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</si>
  <si>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</si>
  <si>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</si>
  <si>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</si>
  <si>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</si>
  <si>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</si>
  <si>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</si>
  <si>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</si>
  <si>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</si>
  <si>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</si>
  <si>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</si>
  <si>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</si>
  <si>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</si>
  <si>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</si>
  <si>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</si>
  <si>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</si>
  <si>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</si>
  <si>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</si>
  <si>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</si>
  <si>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</si>
  <si>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</si>
  <si>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</si>
  <si>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</si>
  <si>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</si>
  <si>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</si>
  <si>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</si>
  <si>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</si>
  <si>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</si>
  <si>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</si>
  <si>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</si>
  <si>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</si>
  <si>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</si>
  <si>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</si>
  <si>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</si>
  <si>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</si>
  <si>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</si>
  <si>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</si>
  <si>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</si>
  <si>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</si>
  <si>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</si>
  <si>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</si>
  <si>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</si>
  <si>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</si>
  <si>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</si>
  <si>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</si>
  <si>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</si>
  <si>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</si>
  <si>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</si>
  <si>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</si>
  <si>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</si>
  <si>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</si>
  <si>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</si>
  <si>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</si>
  <si>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</si>
  <si>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</si>
  <si>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</si>
  <si>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</si>
  <si>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</si>
  <si>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</si>
  <si>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</si>
  <si>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</si>
  <si>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</si>
  <si>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</si>
  <si>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</si>
  <si>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</si>
  <si>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</si>
  <si>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</si>
  <si>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</si>
  <si>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</si>
  <si>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</si>
  <si>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</si>
  <si>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</si>
  <si>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</si>
  <si>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</si>
  <si>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</si>
  <si>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</si>
  <si>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</si>
  <si>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</si>
  <si>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</si>
  <si>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</si>
  <si>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</si>
  <si>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</si>
  <si>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12040</t>
  </si>
  <si>
    <t>WILLEBROEK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</si>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</sst>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191215.36423157479</c:v>
                </c:pt>
                <c:pt idx="1">
                  <c:v>118913.04995732466</c:v>
                </c:pt>
                <c:pt idx="2">
                  <c:v>1587.7560000000001</c:v>
                </c:pt>
                <c:pt idx="3">
                  <c:v>1582.9215510384374</c:v>
                </c:pt>
                <c:pt idx="4">
                  <c:v>239237.61096341227</c:v>
                </c:pt>
                <c:pt idx="5">
                  <c:v>296161.43336557655</c:v>
                </c:pt>
                <c:pt idx="6">
                  <c:v>2154.5192852469654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191215.36423157479</c:v>
                </c:pt>
                <c:pt idx="1">
                  <c:v>118913.04995732466</c:v>
                </c:pt>
                <c:pt idx="2">
                  <c:v>1587.7560000000001</c:v>
                </c:pt>
                <c:pt idx="3">
                  <c:v>1582.9215510384374</c:v>
                </c:pt>
                <c:pt idx="4">
                  <c:v>239237.61096341227</c:v>
                </c:pt>
                <c:pt idx="5">
                  <c:v>296161.43336557655</c:v>
                </c:pt>
                <c:pt idx="6">
                  <c:v>2154.5192852469654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36892.480920776092</c:v>
                </c:pt>
                <c:pt idx="2">
                  <c:v>23111.148945286153</c:v>
                </c:pt>
                <c:pt idx="3">
                  <c:v>290.02640556366583</c:v>
                </c:pt>
                <c:pt idx="4">
                  <c:v>393.72208184397908</c:v>
                </c:pt>
                <c:pt idx="5">
                  <c:v>47858.430172394605</c:v>
                </c:pt>
                <c:pt idx="6">
                  <c:v>76018.847796668677</c:v>
                </c:pt>
                <c:pt idx="7">
                  <c:v>556.95427035941498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36892.480920776092</c:v>
                </c:pt>
                <c:pt idx="2">
                  <c:v>23111.148945286153</c:v>
                </c:pt>
                <c:pt idx="3">
                  <c:v>290.02640556366583</c:v>
                </c:pt>
                <c:pt idx="4">
                  <c:v>393.72208184397908</c:v>
                </c:pt>
                <c:pt idx="5">
                  <c:v>47858.430172394605</c:v>
                </c:pt>
                <c:pt idx="6">
                  <c:v>76018.847796668677</c:v>
                </c:pt>
                <c:pt idx="7">
                  <c:v>556.95427035941498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12040</v>
      </c>
      <c r="B6" s="384"/>
      <c r="C6" s="385"/>
    </row>
    <row r="7" spans="1:7" s="382" customFormat="1" ht="15.75" customHeight="1">
      <c r="A7" s="386" t="str">
        <f>txtMunicipality</f>
        <v>WILLEBROEK</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58605.018922040006</v>
      </c>
      <c r="D10" s="972">
        <f ca="1">tertiair!C16</f>
        <v>0</v>
      </c>
      <c r="E10" s="972">
        <f ca="1">tertiair!D16</f>
        <v>43604.751093565203</v>
      </c>
      <c r="F10" s="972">
        <f>tertiair!E16</f>
        <v>1153.0982584955634</v>
      </c>
      <c r="G10" s="972">
        <f ca="1">tertiair!F16</f>
        <v>13581.329906541787</v>
      </c>
      <c r="H10" s="972">
        <f>tertiair!G16</f>
        <v>0</v>
      </c>
      <c r="I10" s="972">
        <f>tertiair!H16</f>
        <v>0</v>
      </c>
      <c r="J10" s="972">
        <f>tertiair!I16</f>
        <v>0</v>
      </c>
      <c r="K10" s="972">
        <f>tertiair!J16</f>
        <v>0</v>
      </c>
      <c r="L10" s="972">
        <f>tertiair!K16</f>
        <v>0</v>
      </c>
      <c r="M10" s="972">
        <f ca="1">tertiair!L16</f>
        <v>0</v>
      </c>
      <c r="N10" s="972">
        <f>tertiair!M16</f>
        <v>0</v>
      </c>
      <c r="O10" s="972">
        <f ca="1">tertiair!N16</f>
        <v>3516.911110015441</v>
      </c>
      <c r="P10" s="972">
        <f>tertiair!O16</f>
        <v>1.5633333333333335</v>
      </c>
      <c r="Q10" s="973">
        <f>tertiair!P16</f>
        <v>38.133333333333333</v>
      </c>
      <c r="R10" s="668">
        <f ca="1">SUM(C10:Q10)</f>
        <v>120500.80595732466</v>
      </c>
      <c r="S10" s="67"/>
    </row>
    <row r="11" spans="1:19" s="441" customFormat="1">
      <c r="A11" s="777" t="s">
        <v>220</v>
      </c>
      <c r="B11" s="782"/>
      <c r="C11" s="972">
        <f>huishoudens!B8</f>
        <v>35768.793009725305</v>
      </c>
      <c r="D11" s="972">
        <f>huishoudens!C8</f>
        <v>0</v>
      </c>
      <c r="E11" s="972">
        <f>huishoudens!D8</f>
        <v>112863.73592208001</v>
      </c>
      <c r="F11" s="972">
        <f>huishoudens!E8</f>
        <v>986.51142147851294</v>
      </c>
      <c r="G11" s="972">
        <f>huishoudens!F8</f>
        <v>26821.292877267817</v>
      </c>
      <c r="H11" s="972">
        <f>huishoudens!G8</f>
        <v>0</v>
      </c>
      <c r="I11" s="972">
        <f>huishoudens!H8</f>
        <v>0</v>
      </c>
      <c r="J11" s="972">
        <f>huishoudens!I8</f>
        <v>0</v>
      </c>
      <c r="K11" s="972">
        <f>huishoudens!J8</f>
        <v>494.63254683119226</v>
      </c>
      <c r="L11" s="972">
        <f>huishoudens!K8</f>
        <v>0</v>
      </c>
      <c r="M11" s="972">
        <f>huishoudens!L8</f>
        <v>0</v>
      </c>
      <c r="N11" s="972">
        <f>huishoudens!M8</f>
        <v>0</v>
      </c>
      <c r="O11" s="972">
        <f>huishoudens!N8</f>
        <v>12571.848454191999</v>
      </c>
      <c r="P11" s="972">
        <f>huishoudens!O8</f>
        <v>164.15</v>
      </c>
      <c r="Q11" s="973">
        <f>huishoudens!P8</f>
        <v>1544.4</v>
      </c>
      <c r="R11" s="668">
        <f>SUM(C11:Q11)</f>
        <v>191215.36423157479</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39301.344848349996</v>
      </c>
      <c r="D13" s="972">
        <f>industrie!C18</f>
        <v>0</v>
      </c>
      <c r="E13" s="972">
        <f>industrie!D18</f>
        <v>184093.44472335232</v>
      </c>
      <c r="F13" s="972">
        <f>industrie!E18</f>
        <v>2642.830293307818</v>
      </c>
      <c r="G13" s="972">
        <f>industrie!F18</f>
        <v>10451.747327251616</v>
      </c>
      <c r="H13" s="972">
        <f>industrie!G18</f>
        <v>0</v>
      </c>
      <c r="I13" s="972">
        <f>industrie!H18</f>
        <v>0</v>
      </c>
      <c r="J13" s="972">
        <f>industrie!I18</f>
        <v>0</v>
      </c>
      <c r="K13" s="972">
        <f>industrie!J18</f>
        <v>288.30795153614639</v>
      </c>
      <c r="L13" s="972">
        <f>industrie!K18</f>
        <v>0</v>
      </c>
      <c r="M13" s="972">
        <f>industrie!L18</f>
        <v>0</v>
      </c>
      <c r="N13" s="972">
        <f>industrie!M18</f>
        <v>0</v>
      </c>
      <c r="O13" s="972">
        <f>industrie!N18</f>
        <v>2459.9358196143839</v>
      </c>
      <c r="P13" s="972">
        <f>industrie!O18</f>
        <v>0</v>
      </c>
      <c r="Q13" s="973">
        <f>industrie!P18</f>
        <v>0</v>
      </c>
      <c r="R13" s="668">
        <f>SUM(C13:Q13)</f>
        <v>239237.61096341227</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133675.15678011533</v>
      </c>
      <c r="D16" s="700">
        <f t="shared" ref="D16:R16" ca="1" si="0">SUM(D9:D15)</f>
        <v>0</v>
      </c>
      <c r="E16" s="700">
        <f t="shared" ca="1" si="0"/>
        <v>340561.93173899758</v>
      </c>
      <c r="F16" s="700">
        <f t="shared" si="0"/>
        <v>4782.4399732818947</v>
      </c>
      <c r="G16" s="700">
        <f t="shared" ca="1" si="0"/>
        <v>50854.370111061216</v>
      </c>
      <c r="H16" s="700">
        <f t="shared" si="0"/>
        <v>0</v>
      </c>
      <c r="I16" s="700">
        <f t="shared" si="0"/>
        <v>0</v>
      </c>
      <c r="J16" s="700">
        <f t="shared" si="0"/>
        <v>0</v>
      </c>
      <c r="K16" s="700">
        <f t="shared" si="0"/>
        <v>782.94049836733871</v>
      </c>
      <c r="L16" s="700">
        <f t="shared" si="0"/>
        <v>0</v>
      </c>
      <c r="M16" s="700">
        <f t="shared" ca="1" si="0"/>
        <v>0</v>
      </c>
      <c r="N16" s="700">
        <f t="shared" si="0"/>
        <v>0</v>
      </c>
      <c r="O16" s="700">
        <f t="shared" ca="1" si="0"/>
        <v>18548.695383821825</v>
      </c>
      <c r="P16" s="700">
        <f t="shared" si="0"/>
        <v>165.71333333333334</v>
      </c>
      <c r="Q16" s="700">
        <f t="shared" si="0"/>
        <v>1582.5333333333335</v>
      </c>
      <c r="R16" s="700">
        <f t="shared" ca="1" si="0"/>
        <v>550953.78115231171</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11.65436478522239</v>
      </c>
      <c r="D19" s="972">
        <f>transport!C54</f>
        <v>0</v>
      </c>
      <c r="E19" s="972">
        <f>transport!D54</f>
        <v>0</v>
      </c>
      <c r="F19" s="972">
        <f>transport!E54</f>
        <v>0</v>
      </c>
      <c r="G19" s="972">
        <f>transport!F54</f>
        <v>0</v>
      </c>
      <c r="H19" s="972">
        <f>transport!G54</f>
        <v>2077.9978782034891</v>
      </c>
      <c r="I19" s="972">
        <f>transport!H54</f>
        <v>0</v>
      </c>
      <c r="J19" s="972">
        <f>transport!I54</f>
        <v>0</v>
      </c>
      <c r="K19" s="972">
        <f>transport!J54</f>
        <v>0</v>
      </c>
      <c r="L19" s="972">
        <f>transport!K54</f>
        <v>0</v>
      </c>
      <c r="M19" s="972">
        <f>transport!L54</f>
        <v>0</v>
      </c>
      <c r="N19" s="972">
        <f>transport!M54</f>
        <v>64.867042258254145</v>
      </c>
      <c r="O19" s="972">
        <f>transport!N54</f>
        <v>0</v>
      </c>
      <c r="P19" s="972">
        <f>transport!O54</f>
        <v>0</v>
      </c>
      <c r="Q19" s="973">
        <f>transport!P54</f>
        <v>0</v>
      </c>
      <c r="R19" s="668">
        <f>SUM(C19:Q19)</f>
        <v>2154.5192852469654</v>
      </c>
      <c r="S19" s="67"/>
    </row>
    <row r="20" spans="1:19" s="441" customFormat="1">
      <c r="A20" s="777" t="s">
        <v>302</v>
      </c>
      <c r="B20" s="782"/>
      <c r="C20" s="972">
        <f>transport!B14</f>
        <v>68.069455946950924</v>
      </c>
      <c r="D20" s="972">
        <f>transport!C14</f>
        <v>0</v>
      </c>
      <c r="E20" s="972">
        <f>transport!D14</f>
        <v>107.32631288971892</v>
      </c>
      <c r="F20" s="972">
        <f>transport!E14</f>
        <v>510.97752055780643</v>
      </c>
      <c r="G20" s="972">
        <f>transport!F14</f>
        <v>0</v>
      </c>
      <c r="H20" s="972">
        <f>transport!G14</f>
        <v>251492.40084769242</v>
      </c>
      <c r="I20" s="972">
        <f>transport!H14</f>
        <v>35021.169058471045</v>
      </c>
      <c r="J20" s="972">
        <f>transport!I14</f>
        <v>0</v>
      </c>
      <c r="K20" s="972">
        <f>transport!J14</f>
        <v>0</v>
      </c>
      <c r="L20" s="972">
        <f>transport!K14</f>
        <v>0</v>
      </c>
      <c r="M20" s="972">
        <f>transport!L14</f>
        <v>0</v>
      </c>
      <c r="N20" s="972">
        <f>transport!M14</f>
        <v>8961.4901700186219</v>
      </c>
      <c r="O20" s="972">
        <f>transport!N14</f>
        <v>0</v>
      </c>
      <c r="P20" s="972">
        <f>transport!O14</f>
        <v>0</v>
      </c>
      <c r="Q20" s="973">
        <f>transport!P14</f>
        <v>0</v>
      </c>
      <c r="R20" s="668">
        <f>SUM(C20:Q20)</f>
        <v>296161.43336557655</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79.723820732173309</v>
      </c>
      <c r="D22" s="780">
        <f t="shared" ref="D22:R22" si="1">SUM(D18:D21)</f>
        <v>0</v>
      </c>
      <c r="E22" s="780">
        <f t="shared" si="1"/>
        <v>107.32631288971892</v>
      </c>
      <c r="F22" s="780">
        <f t="shared" si="1"/>
        <v>510.97752055780643</v>
      </c>
      <c r="G22" s="780">
        <f t="shared" si="1"/>
        <v>0</v>
      </c>
      <c r="H22" s="780">
        <f t="shared" si="1"/>
        <v>253570.39872589591</v>
      </c>
      <c r="I22" s="780">
        <f t="shared" si="1"/>
        <v>35021.169058471045</v>
      </c>
      <c r="J22" s="780">
        <f t="shared" si="1"/>
        <v>0</v>
      </c>
      <c r="K22" s="780">
        <f t="shared" si="1"/>
        <v>0</v>
      </c>
      <c r="L22" s="780">
        <f t="shared" si="1"/>
        <v>0</v>
      </c>
      <c r="M22" s="780">
        <f t="shared" si="1"/>
        <v>0</v>
      </c>
      <c r="N22" s="780">
        <f t="shared" si="1"/>
        <v>9026.3572122768765</v>
      </c>
      <c r="O22" s="780">
        <f t="shared" si="1"/>
        <v>0</v>
      </c>
      <c r="P22" s="780">
        <f t="shared" si="1"/>
        <v>0</v>
      </c>
      <c r="Q22" s="780">
        <f t="shared" si="1"/>
        <v>0</v>
      </c>
      <c r="R22" s="780">
        <f t="shared" si="1"/>
        <v>298315.95265082351</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307.219462927</v>
      </c>
      <c r="D24" s="972">
        <f>+landbouw!C8</f>
        <v>0</v>
      </c>
      <c r="E24" s="972">
        <f>+landbouw!D8</f>
        <v>100.60613256165999</v>
      </c>
      <c r="F24" s="972">
        <f>+landbouw!E8</f>
        <v>7.9220103625272813</v>
      </c>
      <c r="G24" s="972">
        <f>+landbouw!F8</f>
        <v>1122.9456441027914</v>
      </c>
      <c r="H24" s="972">
        <f>+landbouw!G8</f>
        <v>0</v>
      </c>
      <c r="I24" s="972">
        <f>+landbouw!H8</f>
        <v>0</v>
      </c>
      <c r="J24" s="972">
        <f>+landbouw!I8</f>
        <v>0</v>
      </c>
      <c r="K24" s="972">
        <f>+landbouw!J8</f>
        <v>44.22830108445882</v>
      </c>
      <c r="L24" s="972">
        <f>+landbouw!K8</f>
        <v>0</v>
      </c>
      <c r="M24" s="972">
        <f>+landbouw!L8</f>
        <v>0</v>
      </c>
      <c r="N24" s="972">
        <f>+landbouw!M8</f>
        <v>0</v>
      </c>
      <c r="O24" s="972">
        <f>+landbouw!N8</f>
        <v>0</v>
      </c>
      <c r="P24" s="972">
        <f>+landbouw!O8</f>
        <v>0</v>
      </c>
      <c r="Q24" s="973">
        <f>+landbouw!P8</f>
        <v>0</v>
      </c>
      <c r="R24" s="668">
        <f>SUM(C24:Q24)</f>
        <v>1582.9215510384374</v>
      </c>
      <c r="S24" s="67"/>
    </row>
    <row r="25" spans="1:19" s="441" customFormat="1" ht="15" thickBot="1">
      <c r="A25" s="799" t="s">
        <v>821</v>
      </c>
      <c r="B25" s="975"/>
      <c r="C25" s="976">
        <f>IF(Onbekend_ele_kWh="---",0,Onbekend_ele_kWh)/1000+IF(REST_rest_ele_kWh="---",0,REST_rest_ele_kWh)/1000</f>
        <v>1291.7578501999999</v>
      </c>
      <c r="D25" s="976"/>
      <c r="E25" s="976">
        <f>IF(onbekend_gas_kWh="---",0,onbekend_gas_kWh)/1000+IF(REST_rest_gas_kWh="---",0,REST_rest_gas_kWh)/1000</f>
        <v>4278.4354971000002</v>
      </c>
      <c r="F25" s="976"/>
      <c r="G25" s="976"/>
      <c r="H25" s="976"/>
      <c r="I25" s="976"/>
      <c r="J25" s="976"/>
      <c r="K25" s="976"/>
      <c r="L25" s="976"/>
      <c r="M25" s="976"/>
      <c r="N25" s="976"/>
      <c r="O25" s="976"/>
      <c r="P25" s="976"/>
      <c r="Q25" s="977"/>
      <c r="R25" s="668">
        <f>SUM(C25:Q25)</f>
        <v>5570.1933472999999</v>
      </c>
      <c r="S25" s="67"/>
    </row>
    <row r="26" spans="1:19" s="441" customFormat="1" ht="15.75" thickBot="1">
      <c r="A26" s="673" t="s">
        <v>822</v>
      </c>
      <c r="B26" s="785"/>
      <c r="C26" s="780">
        <f>SUM(C24:C25)</f>
        <v>1598.9773131269999</v>
      </c>
      <c r="D26" s="780">
        <f t="shared" ref="D26:R26" si="2">SUM(D24:D25)</f>
        <v>0</v>
      </c>
      <c r="E26" s="780">
        <f t="shared" si="2"/>
        <v>4379.0416296616604</v>
      </c>
      <c r="F26" s="780">
        <f t="shared" si="2"/>
        <v>7.9220103625272813</v>
      </c>
      <c r="G26" s="780">
        <f t="shared" si="2"/>
        <v>1122.9456441027914</v>
      </c>
      <c r="H26" s="780">
        <f t="shared" si="2"/>
        <v>0</v>
      </c>
      <c r="I26" s="780">
        <f t="shared" si="2"/>
        <v>0</v>
      </c>
      <c r="J26" s="780">
        <f t="shared" si="2"/>
        <v>0</v>
      </c>
      <c r="K26" s="780">
        <f t="shared" si="2"/>
        <v>44.22830108445882</v>
      </c>
      <c r="L26" s="780">
        <f t="shared" si="2"/>
        <v>0</v>
      </c>
      <c r="M26" s="780">
        <f t="shared" si="2"/>
        <v>0</v>
      </c>
      <c r="N26" s="780">
        <f t="shared" si="2"/>
        <v>0</v>
      </c>
      <c r="O26" s="780">
        <f t="shared" si="2"/>
        <v>0</v>
      </c>
      <c r="P26" s="780">
        <f t="shared" si="2"/>
        <v>0</v>
      </c>
      <c r="Q26" s="780">
        <f t="shared" si="2"/>
        <v>0</v>
      </c>
      <c r="R26" s="780">
        <f t="shared" si="2"/>
        <v>7153.1148983384373</v>
      </c>
      <c r="S26" s="67"/>
    </row>
    <row r="27" spans="1:19" s="441" customFormat="1" ht="17.25" thickTop="1" thickBot="1">
      <c r="A27" s="674" t="s">
        <v>115</v>
      </c>
      <c r="B27" s="773"/>
      <c r="C27" s="675">
        <f ca="1">C22+C16+C26</f>
        <v>135353.8579139745</v>
      </c>
      <c r="D27" s="675">
        <f t="shared" ref="D27:R27" ca="1" si="3">D22+D16+D26</f>
        <v>0</v>
      </c>
      <c r="E27" s="675">
        <f t="shared" ca="1" si="3"/>
        <v>345048.29968154896</v>
      </c>
      <c r="F27" s="675">
        <f t="shared" si="3"/>
        <v>5301.3395042022285</v>
      </c>
      <c r="G27" s="675">
        <f t="shared" ca="1" si="3"/>
        <v>51977.315755164011</v>
      </c>
      <c r="H27" s="675">
        <f t="shared" si="3"/>
        <v>253570.39872589591</v>
      </c>
      <c r="I27" s="675">
        <f t="shared" si="3"/>
        <v>35021.169058471045</v>
      </c>
      <c r="J27" s="675">
        <f t="shared" si="3"/>
        <v>0</v>
      </c>
      <c r="K27" s="675">
        <f t="shared" si="3"/>
        <v>827.16879945179755</v>
      </c>
      <c r="L27" s="675">
        <f t="shared" si="3"/>
        <v>0</v>
      </c>
      <c r="M27" s="675">
        <f t="shared" ca="1" si="3"/>
        <v>0</v>
      </c>
      <c r="N27" s="675">
        <f t="shared" si="3"/>
        <v>9026.3572122768765</v>
      </c>
      <c r="O27" s="675">
        <f t="shared" ca="1" si="3"/>
        <v>18548.695383821825</v>
      </c>
      <c r="P27" s="675">
        <f t="shared" si="3"/>
        <v>165.71333333333334</v>
      </c>
      <c r="Q27" s="675">
        <f t="shared" si="3"/>
        <v>1582.5333333333335</v>
      </c>
      <c r="R27" s="675">
        <f t="shared" ca="1" si="3"/>
        <v>856422.84870147367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10705.047240224496</v>
      </c>
      <c r="D40" s="972">
        <f ca="1">tertiair!C20</f>
        <v>0</v>
      </c>
      <c r="E40" s="972">
        <f ca="1">tertiair!D20</f>
        <v>8808.159720900172</v>
      </c>
      <c r="F40" s="972">
        <f>tertiair!E20</f>
        <v>261.7533046784929</v>
      </c>
      <c r="G40" s="972">
        <f ca="1">tertiair!F20</f>
        <v>3626.2150850466574</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23401.175350849819</v>
      </c>
    </row>
    <row r="41" spans="1:18">
      <c r="A41" s="790" t="s">
        <v>220</v>
      </c>
      <c r="B41" s="797"/>
      <c r="C41" s="972">
        <f ca="1">huishoudens!B12</f>
        <v>6533.6830520315507</v>
      </c>
      <c r="D41" s="972">
        <f ca="1">huishoudens!C12</f>
        <v>0</v>
      </c>
      <c r="E41" s="972">
        <f>huishoudens!D12</f>
        <v>22798.474656260165</v>
      </c>
      <c r="F41" s="972">
        <f>huishoudens!E12</f>
        <v>223.93809267562244</v>
      </c>
      <c r="G41" s="972">
        <f>huishoudens!F12</f>
        <v>7161.2851982305074</v>
      </c>
      <c r="H41" s="972">
        <f>huishoudens!G12</f>
        <v>0</v>
      </c>
      <c r="I41" s="972">
        <f>huishoudens!H12</f>
        <v>0</v>
      </c>
      <c r="J41" s="972">
        <f>huishoudens!I12</f>
        <v>0</v>
      </c>
      <c r="K41" s="972">
        <f>huishoudens!J12</f>
        <v>175.09992157824206</v>
      </c>
      <c r="L41" s="972">
        <f>huishoudens!K12</f>
        <v>0</v>
      </c>
      <c r="M41" s="972">
        <f>huishoudens!L12</f>
        <v>0</v>
      </c>
      <c r="N41" s="972">
        <f>huishoudens!M12</f>
        <v>0</v>
      </c>
      <c r="O41" s="972">
        <f>huishoudens!N12</f>
        <v>0</v>
      </c>
      <c r="P41" s="972">
        <f>huishoudens!O12</f>
        <v>0</v>
      </c>
      <c r="Q41" s="742">
        <f>huishoudens!P12</f>
        <v>0</v>
      </c>
      <c r="R41" s="818">
        <f t="shared" ca="1" si="4"/>
        <v>36892.480920776092</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7178.9543104765753</v>
      </c>
      <c r="D43" s="972">
        <f ca="1">industrie!C22</f>
        <v>0</v>
      </c>
      <c r="E43" s="972">
        <f>industrie!D22</f>
        <v>37186.875834117171</v>
      </c>
      <c r="F43" s="972">
        <f>industrie!E22</f>
        <v>599.92247658087467</v>
      </c>
      <c r="G43" s="972">
        <f>industrie!F22</f>
        <v>2790.6165363761816</v>
      </c>
      <c r="H43" s="972">
        <f>industrie!G22</f>
        <v>0</v>
      </c>
      <c r="I43" s="972">
        <f>industrie!H22</f>
        <v>0</v>
      </c>
      <c r="J43" s="972">
        <f>industrie!I22</f>
        <v>0</v>
      </c>
      <c r="K43" s="972">
        <f>industrie!J22</f>
        <v>102.06101484379582</v>
      </c>
      <c r="L43" s="972">
        <f>industrie!K22</f>
        <v>0</v>
      </c>
      <c r="M43" s="972">
        <f>industrie!L22</f>
        <v>0</v>
      </c>
      <c r="N43" s="972">
        <f>industrie!M22</f>
        <v>0</v>
      </c>
      <c r="O43" s="972">
        <f>industrie!N22</f>
        <v>0</v>
      </c>
      <c r="P43" s="972">
        <f>industrie!O22</f>
        <v>0</v>
      </c>
      <c r="Q43" s="742">
        <f>industrie!P22</f>
        <v>0</v>
      </c>
      <c r="R43" s="817">
        <f t="shared" ca="1" si="4"/>
        <v>47858.430172394605</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24417.684602732625</v>
      </c>
      <c r="D46" s="700">
        <f t="shared" ref="D46:Q46" ca="1" si="5">SUM(D39:D45)</f>
        <v>0</v>
      </c>
      <c r="E46" s="700">
        <f t="shared" ca="1" si="5"/>
        <v>68793.510211277506</v>
      </c>
      <c r="F46" s="700">
        <f t="shared" si="5"/>
        <v>1085.6138739349899</v>
      </c>
      <c r="G46" s="700">
        <f t="shared" ca="1" si="5"/>
        <v>13578.116819653345</v>
      </c>
      <c r="H46" s="700">
        <f t="shared" si="5"/>
        <v>0</v>
      </c>
      <c r="I46" s="700">
        <f t="shared" si="5"/>
        <v>0</v>
      </c>
      <c r="J46" s="700">
        <f t="shared" si="5"/>
        <v>0</v>
      </c>
      <c r="K46" s="700">
        <f t="shared" si="5"/>
        <v>277.16093642203788</v>
      </c>
      <c r="L46" s="700">
        <f t="shared" si="5"/>
        <v>0</v>
      </c>
      <c r="M46" s="700">
        <f t="shared" ca="1" si="5"/>
        <v>0</v>
      </c>
      <c r="N46" s="700">
        <f t="shared" si="5"/>
        <v>0</v>
      </c>
      <c r="O46" s="700">
        <f t="shared" ca="1" si="5"/>
        <v>0</v>
      </c>
      <c r="P46" s="700">
        <f t="shared" si="5"/>
        <v>0</v>
      </c>
      <c r="Q46" s="700">
        <f t="shared" si="5"/>
        <v>0</v>
      </c>
      <c r="R46" s="700">
        <f ca="1">SUM(R39:R45)</f>
        <v>108152.0864440205</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2.1288368790833188</v>
      </c>
      <c r="D49" s="972">
        <f ca="1">transport!C58</f>
        <v>0</v>
      </c>
      <c r="E49" s="972">
        <f>transport!D58</f>
        <v>0</v>
      </c>
      <c r="F49" s="972">
        <f>transport!E58</f>
        <v>0</v>
      </c>
      <c r="G49" s="972">
        <f>transport!F58</f>
        <v>0</v>
      </c>
      <c r="H49" s="972">
        <f>transport!G58</f>
        <v>554.82543348033164</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556.95427035941498</v>
      </c>
    </row>
    <row r="50" spans="1:18">
      <c r="A50" s="793" t="s">
        <v>302</v>
      </c>
      <c r="B50" s="803"/>
      <c r="C50" s="671">
        <f ca="1">transport!B18</f>
        <v>12.43386240516079</v>
      </c>
      <c r="D50" s="671">
        <f>transport!C18</f>
        <v>0</v>
      </c>
      <c r="E50" s="671">
        <f>transport!D18</f>
        <v>21.679915203723223</v>
      </c>
      <c r="F50" s="671">
        <f>transport!E18</f>
        <v>115.99189716662207</v>
      </c>
      <c r="G50" s="671">
        <f>transport!F18</f>
        <v>0</v>
      </c>
      <c r="H50" s="671">
        <f>transport!G18</f>
        <v>67148.471026333878</v>
      </c>
      <c r="I50" s="671">
        <f>transport!H18</f>
        <v>8720.2710955592902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76018.847796668677</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14.562699284244108</v>
      </c>
      <c r="D52" s="700">
        <f t="shared" ref="D52:Q52" ca="1" si="6">SUM(D48:D51)</f>
        <v>0</v>
      </c>
      <c r="E52" s="700">
        <f t="shared" si="6"/>
        <v>21.679915203723223</v>
      </c>
      <c r="F52" s="700">
        <f t="shared" si="6"/>
        <v>115.99189716662207</v>
      </c>
      <c r="G52" s="700">
        <f t="shared" si="6"/>
        <v>0</v>
      </c>
      <c r="H52" s="700">
        <f t="shared" si="6"/>
        <v>67703.296459814213</v>
      </c>
      <c r="I52" s="700">
        <f t="shared" si="6"/>
        <v>8720.2710955592902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76575.802067028097</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56.118041154886328</v>
      </c>
      <c r="D54" s="671">
        <f ca="1">+landbouw!C12</f>
        <v>0</v>
      </c>
      <c r="E54" s="671">
        <f>+landbouw!D12</f>
        <v>20.322438777455318</v>
      </c>
      <c r="F54" s="671">
        <f>+landbouw!E12</f>
        <v>1.798296352293693</v>
      </c>
      <c r="G54" s="671">
        <f>+landbouw!F12</f>
        <v>299.82648697544533</v>
      </c>
      <c r="H54" s="671">
        <f>+landbouw!G12</f>
        <v>0</v>
      </c>
      <c r="I54" s="671">
        <f>+landbouw!H12</f>
        <v>0</v>
      </c>
      <c r="J54" s="671">
        <f>+landbouw!I12</f>
        <v>0</v>
      </c>
      <c r="K54" s="671">
        <f>+landbouw!J12</f>
        <v>15.656818583898422</v>
      </c>
      <c r="L54" s="671">
        <f>+landbouw!K12</f>
        <v>0</v>
      </c>
      <c r="M54" s="671">
        <f>+landbouw!L12</f>
        <v>0</v>
      </c>
      <c r="N54" s="671">
        <f>+landbouw!M12</f>
        <v>0</v>
      </c>
      <c r="O54" s="671">
        <f>+landbouw!N12</f>
        <v>0</v>
      </c>
      <c r="P54" s="671">
        <f>+landbouw!O12</f>
        <v>0</v>
      </c>
      <c r="Q54" s="672">
        <f>+landbouw!P12</f>
        <v>0</v>
      </c>
      <c r="R54" s="699">
        <f ca="1">SUM(C54:Q54)</f>
        <v>393.72208184397908</v>
      </c>
    </row>
    <row r="55" spans="1:18" ht="15" thickBot="1">
      <c r="A55" s="793" t="s">
        <v>821</v>
      </c>
      <c r="B55" s="803"/>
      <c r="C55" s="671">
        <f ca="1">C25*'EF ele_warmte'!B12</f>
        <v>235.95809819150693</v>
      </c>
      <c r="D55" s="671"/>
      <c r="E55" s="671">
        <f>E25*EF_CO2_aardgas</f>
        <v>864.24397041420013</v>
      </c>
      <c r="F55" s="671"/>
      <c r="G55" s="671"/>
      <c r="H55" s="671"/>
      <c r="I55" s="671"/>
      <c r="J55" s="671"/>
      <c r="K55" s="671"/>
      <c r="L55" s="671"/>
      <c r="M55" s="671"/>
      <c r="N55" s="671"/>
      <c r="O55" s="671"/>
      <c r="P55" s="671"/>
      <c r="Q55" s="672"/>
      <c r="R55" s="699">
        <f ca="1">SUM(C55:Q55)</f>
        <v>1100.2020686057072</v>
      </c>
    </row>
    <row r="56" spans="1:18" ht="15.75" thickBot="1">
      <c r="A56" s="791" t="s">
        <v>822</v>
      </c>
      <c r="B56" s="804"/>
      <c r="C56" s="700">
        <f ca="1">SUM(C54:C55)</f>
        <v>292.07613934639323</v>
      </c>
      <c r="D56" s="700">
        <f t="shared" ref="D56:Q56" ca="1" si="7">SUM(D54:D55)</f>
        <v>0</v>
      </c>
      <c r="E56" s="700">
        <f t="shared" si="7"/>
        <v>884.56640919165545</v>
      </c>
      <c r="F56" s="700">
        <f t="shared" si="7"/>
        <v>1.798296352293693</v>
      </c>
      <c r="G56" s="700">
        <f t="shared" si="7"/>
        <v>299.82648697544533</v>
      </c>
      <c r="H56" s="700">
        <f t="shared" si="7"/>
        <v>0</v>
      </c>
      <c r="I56" s="700">
        <f t="shared" si="7"/>
        <v>0</v>
      </c>
      <c r="J56" s="700">
        <f t="shared" si="7"/>
        <v>0</v>
      </c>
      <c r="K56" s="700">
        <f t="shared" si="7"/>
        <v>15.656818583898422</v>
      </c>
      <c r="L56" s="700">
        <f t="shared" si="7"/>
        <v>0</v>
      </c>
      <c r="M56" s="700">
        <f t="shared" si="7"/>
        <v>0</v>
      </c>
      <c r="N56" s="700">
        <f t="shared" si="7"/>
        <v>0</v>
      </c>
      <c r="O56" s="700">
        <f t="shared" si="7"/>
        <v>0</v>
      </c>
      <c r="P56" s="700">
        <f t="shared" si="7"/>
        <v>0</v>
      </c>
      <c r="Q56" s="701">
        <f t="shared" si="7"/>
        <v>0</v>
      </c>
      <c r="R56" s="702">
        <f ca="1">SUM(R54:R55)</f>
        <v>1493.9241504496863</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24724.323441363264</v>
      </c>
      <c r="D61" s="708">
        <f t="shared" ref="D61:Q61" ca="1" si="8">D46+D52+D56</f>
        <v>0</v>
      </c>
      <c r="E61" s="708">
        <f t="shared" ca="1" si="8"/>
        <v>69699.756535672888</v>
      </c>
      <c r="F61" s="708">
        <f t="shared" si="8"/>
        <v>1203.4040674539056</v>
      </c>
      <c r="G61" s="708">
        <f t="shared" ca="1" si="8"/>
        <v>13877.943306628791</v>
      </c>
      <c r="H61" s="708">
        <f t="shared" si="8"/>
        <v>67703.296459814213</v>
      </c>
      <c r="I61" s="708">
        <f t="shared" si="8"/>
        <v>8720.2710955592902</v>
      </c>
      <c r="J61" s="708">
        <f t="shared" si="8"/>
        <v>0</v>
      </c>
      <c r="K61" s="708">
        <f t="shared" si="8"/>
        <v>292.81775500593631</v>
      </c>
      <c r="L61" s="708">
        <f t="shared" si="8"/>
        <v>0</v>
      </c>
      <c r="M61" s="708">
        <f t="shared" ca="1" si="8"/>
        <v>0</v>
      </c>
      <c r="N61" s="708">
        <f t="shared" si="8"/>
        <v>0</v>
      </c>
      <c r="O61" s="708">
        <f t="shared" ca="1" si="8"/>
        <v>0</v>
      </c>
      <c r="P61" s="708">
        <f t="shared" si="8"/>
        <v>0</v>
      </c>
      <c r="Q61" s="708">
        <f t="shared" si="8"/>
        <v>0</v>
      </c>
      <c r="R61" s="708">
        <f ca="1">R46+R52+R56</f>
        <v>186221.81266149829</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0.18266434235717946</v>
      </c>
      <c r="D63" s="749">
        <f t="shared" ca="1" si="9"/>
        <v>0</v>
      </c>
      <c r="E63" s="983">
        <f t="shared" ca="1" si="9"/>
        <v>0.20199999999999999</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7055.4051800892894</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16423.686030884019</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0</v>
      </c>
      <c r="D76" s="993">
        <f>'lokale energieproductie'!C8</f>
        <v>0</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23479.091210973307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0</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35768.793009725305</v>
      </c>
      <c r="C4" s="445">
        <f>huishoudens!C8</f>
        <v>0</v>
      </c>
      <c r="D4" s="445">
        <f>huishoudens!D8</f>
        <v>112863.73592208001</v>
      </c>
      <c r="E4" s="445">
        <f>huishoudens!E8</f>
        <v>986.51142147851294</v>
      </c>
      <c r="F4" s="445">
        <f>huishoudens!F8</f>
        <v>26821.292877267817</v>
      </c>
      <c r="G4" s="445">
        <f>huishoudens!G8</f>
        <v>0</v>
      </c>
      <c r="H4" s="445">
        <f>huishoudens!H8</f>
        <v>0</v>
      </c>
      <c r="I4" s="445">
        <f>huishoudens!I8</f>
        <v>0</v>
      </c>
      <c r="J4" s="445">
        <f>huishoudens!J8</f>
        <v>494.63254683119226</v>
      </c>
      <c r="K4" s="445">
        <f>huishoudens!K8</f>
        <v>0</v>
      </c>
      <c r="L4" s="445">
        <f>huishoudens!L8</f>
        <v>0</v>
      </c>
      <c r="M4" s="445">
        <f>huishoudens!M8</f>
        <v>0</v>
      </c>
      <c r="N4" s="445">
        <f>huishoudens!N8</f>
        <v>12571.848454191999</v>
      </c>
      <c r="O4" s="445">
        <f>huishoudens!O8</f>
        <v>164.15</v>
      </c>
      <c r="P4" s="446">
        <f>huishoudens!P8</f>
        <v>1544.4</v>
      </c>
      <c r="Q4" s="447">
        <f>SUM(B4:P4)</f>
        <v>191215.36423157479</v>
      </c>
    </row>
    <row r="5" spans="1:17">
      <c r="A5" s="444" t="s">
        <v>155</v>
      </c>
      <c r="B5" s="445">
        <f ca="1">tertiair!B16</f>
        <v>57017.262922040005</v>
      </c>
      <c r="C5" s="445">
        <f ca="1">tertiair!C16</f>
        <v>0</v>
      </c>
      <c r="D5" s="445">
        <f ca="1">tertiair!D16</f>
        <v>43604.751093565203</v>
      </c>
      <c r="E5" s="445">
        <f>tertiair!E16</f>
        <v>1153.0982584955634</v>
      </c>
      <c r="F5" s="445">
        <f ca="1">tertiair!F16</f>
        <v>13581.329906541787</v>
      </c>
      <c r="G5" s="445">
        <f>tertiair!G16</f>
        <v>0</v>
      </c>
      <c r="H5" s="445">
        <f>tertiair!H16</f>
        <v>0</v>
      </c>
      <c r="I5" s="445">
        <f>tertiair!I16</f>
        <v>0</v>
      </c>
      <c r="J5" s="445">
        <f>tertiair!J16</f>
        <v>0</v>
      </c>
      <c r="K5" s="445">
        <f>tertiair!K16</f>
        <v>0</v>
      </c>
      <c r="L5" s="445">
        <f ca="1">tertiair!L16</f>
        <v>0</v>
      </c>
      <c r="M5" s="445">
        <f>tertiair!M16</f>
        <v>0</v>
      </c>
      <c r="N5" s="445">
        <f ca="1">tertiair!N16</f>
        <v>3516.911110015441</v>
      </c>
      <c r="O5" s="445">
        <f>tertiair!O16</f>
        <v>1.5633333333333335</v>
      </c>
      <c r="P5" s="446">
        <f>tertiair!P16</f>
        <v>38.133333333333333</v>
      </c>
      <c r="Q5" s="444">
        <f t="shared" ref="Q5:Q14" ca="1" si="0">SUM(B5:P5)</f>
        <v>118913.04995732466</v>
      </c>
    </row>
    <row r="6" spans="1:17">
      <c r="A6" s="444" t="s">
        <v>193</v>
      </c>
      <c r="B6" s="445">
        <f>'openbare verlichting'!B8</f>
        <v>1587.7560000000001</v>
      </c>
      <c r="C6" s="445"/>
      <c r="D6" s="445"/>
      <c r="E6" s="445"/>
      <c r="F6" s="445"/>
      <c r="G6" s="445"/>
      <c r="H6" s="445"/>
      <c r="I6" s="445"/>
      <c r="J6" s="445"/>
      <c r="K6" s="445"/>
      <c r="L6" s="445"/>
      <c r="M6" s="445"/>
      <c r="N6" s="445"/>
      <c r="O6" s="445"/>
      <c r="P6" s="446"/>
      <c r="Q6" s="444">
        <f t="shared" si="0"/>
        <v>1587.7560000000001</v>
      </c>
    </row>
    <row r="7" spans="1:17">
      <c r="A7" s="444" t="s">
        <v>111</v>
      </c>
      <c r="B7" s="445">
        <f>landbouw!B8</f>
        <v>307.219462927</v>
      </c>
      <c r="C7" s="445">
        <f>landbouw!C8</f>
        <v>0</v>
      </c>
      <c r="D7" s="445">
        <f>landbouw!D8</f>
        <v>100.60613256165999</v>
      </c>
      <c r="E7" s="445">
        <f>landbouw!E8</f>
        <v>7.9220103625272813</v>
      </c>
      <c r="F7" s="445">
        <f>landbouw!F8</f>
        <v>1122.9456441027914</v>
      </c>
      <c r="G7" s="445">
        <f>landbouw!G8</f>
        <v>0</v>
      </c>
      <c r="H7" s="445">
        <f>landbouw!H8</f>
        <v>0</v>
      </c>
      <c r="I7" s="445">
        <f>landbouw!I8</f>
        <v>0</v>
      </c>
      <c r="J7" s="445">
        <f>landbouw!J8</f>
        <v>44.22830108445882</v>
      </c>
      <c r="K7" s="445">
        <f>landbouw!K8</f>
        <v>0</v>
      </c>
      <c r="L7" s="445">
        <f>landbouw!L8</f>
        <v>0</v>
      </c>
      <c r="M7" s="445">
        <f>landbouw!M8</f>
        <v>0</v>
      </c>
      <c r="N7" s="445">
        <f>landbouw!N8</f>
        <v>0</v>
      </c>
      <c r="O7" s="445">
        <f>landbouw!O8</f>
        <v>0</v>
      </c>
      <c r="P7" s="446">
        <f>landbouw!P8</f>
        <v>0</v>
      </c>
      <c r="Q7" s="444">
        <f t="shared" si="0"/>
        <v>1582.9215510384374</v>
      </c>
    </row>
    <row r="8" spans="1:17">
      <c r="A8" s="444" t="s">
        <v>631</v>
      </c>
      <c r="B8" s="445">
        <f>industrie!B18</f>
        <v>39301.344848349996</v>
      </c>
      <c r="C8" s="445">
        <f>industrie!C18</f>
        <v>0</v>
      </c>
      <c r="D8" s="445">
        <f>industrie!D18</f>
        <v>184093.44472335232</v>
      </c>
      <c r="E8" s="445">
        <f>industrie!E18</f>
        <v>2642.830293307818</v>
      </c>
      <c r="F8" s="445">
        <f>industrie!F18</f>
        <v>10451.747327251616</v>
      </c>
      <c r="G8" s="445">
        <f>industrie!G18</f>
        <v>0</v>
      </c>
      <c r="H8" s="445">
        <f>industrie!H18</f>
        <v>0</v>
      </c>
      <c r="I8" s="445">
        <f>industrie!I18</f>
        <v>0</v>
      </c>
      <c r="J8" s="445">
        <f>industrie!J18</f>
        <v>288.30795153614639</v>
      </c>
      <c r="K8" s="445">
        <f>industrie!K18</f>
        <v>0</v>
      </c>
      <c r="L8" s="445">
        <f>industrie!L18</f>
        <v>0</v>
      </c>
      <c r="M8" s="445">
        <f>industrie!M18</f>
        <v>0</v>
      </c>
      <c r="N8" s="445">
        <f>industrie!N18</f>
        <v>2459.9358196143839</v>
      </c>
      <c r="O8" s="445">
        <f>industrie!O18</f>
        <v>0</v>
      </c>
      <c r="P8" s="446">
        <f>industrie!P18</f>
        <v>0</v>
      </c>
      <c r="Q8" s="444">
        <f t="shared" si="0"/>
        <v>239237.61096341227</v>
      </c>
    </row>
    <row r="9" spans="1:17" s="450" customFormat="1">
      <c r="A9" s="448" t="s">
        <v>557</v>
      </c>
      <c r="B9" s="449">
        <f>transport!B14</f>
        <v>68.069455946950924</v>
      </c>
      <c r="C9" s="449">
        <f>transport!C14</f>
        <v>0</v>
      </c>
      <c r="D9" s="449">
        <f>transport!D14</f>
        <v>107.32631288971892</v>
      </c>
      <c r="E9" s="449">
        <f>transport!E14</f>
        <v>510.97752055780643</v>
      </c>
      <c r="F9" s="449">
        <f>transport!F14</f>
        <v>0</v>
      </c>
      <c r="G9" s="449">
        <f>transport!G14</f>
        <v>251492.40084769242</v>
      </c>
      <c r="H9" s="449">
        <f>transport!H14</f>
        <v>35021.169058471045</v>
      </c>
      <c r="I9" s="449">
        <f>transport!I14</f>
        <v>0</v>
      </c>
      <c r="J9" s="449">
        <f>transport!J14</f>
        <v>0</v>
      </c>
      <c r="K9" s="449">
        <f>transport!K14</f>
        <v>0</v>
      </c>
      <c r="L9" s="449">
        <f>transport!L14</f>
        <v>0</v>
      </c>
      <c r="M9" s="449">
        <f>transport!M14</f>
        <v>8961.4901700186219</v>
      </c>
      <c r="N9" s="449">
        <f>transport!N14</f>
        <v>0</v>
      </c>
      <c r="O9" s="449">
        <f>transport!O14</f>
        <v>0</v>
      </c>
      <c r="P9" s="449">
        <f>transport!P14</f>
        <v>0</v>
      </c>
      <c r="Q9" s="448">
        <f>SUM(B9:P9)</f>
        <v>296161.43336557655</v>
      </c>
    </row>
    <row r="10" spans="1:17">
      <c r="A10" s="444" t="s">
        <v>547</v>
      </c>
      <c r="B10" s="445">
        <f>transport!B54</f>
        <v>11.65436478522239</v>
      </c>
      <c r="C10" s="445">
        <f>transport!C54</f>
        <v>0</v>
      </c>
      <c r="D10" s="445">
        <f>transport!D54</f>
        <v>0</v>
      </c>
      <c r="E10" s="445">
        <f>transport!E54</f>
        <v>0</v>
      </c>
      <c r="F10" s="445">
        <f>transport!F54</f>
        <v>0</v>
      </c>
      <c r="G10" s="445">
        <f>transport!G54</f>
        <v>2077.9978782034891</v>
      </c>
      <c r="H10" s="445">
        <f>transport!H54</f>
        <v>0</v>
      </c>
      <c r="I10" s="445">
        <f>transport!I54</f>
        <v>0</v>
      </c>
      <c r="J10" s="445">
        <f>transport!J54</f>
        <v>0</v>
      </c>
      <c r="K10" s="445">
        <f>transport!K54</f>
        <v>0</v>
      </c>
      <c r="L10" s="445">
        <f>transport!L54</f>
        <v>0</v>
      </c>
      <c r="M10" s="445">
        <f>transport!M54</f>
        <v>64.867042258254145</v>
      </c>
      <c r="N10" s="445">
        <f>transport!N54</f>
        <v>0</v>
      </c>
      <c r="O10" s="445">
        <f>transport!O54</f>
        <v>0</v>
      </c>
      <c r="P10" s="446">
        <f>transport!P54</f>
        <v>0</v>
      </c>
      <c r="Q10" s="444">
        <f t="shared" si="0"/>
        <v>2154.5192852469654</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1291.7578501999999</v>
      </c>
      <c r="C14" s="452"/>
      <c r="D14" s="452">
        <f>'SEAP template'!E25</f>
        <v>4278.4354971000002</v>
      </c>
      <c r="E14" s="452"/>
      <c r="F14" s="452"/>
      <c r="G14" s="452"/>
      <c r="H14" s="452"/>
      <c r="I14" s="452"/>
      <c r="J14" s="452"/>
      <c r="K14" s="452"/>
      <c r="L14" s="452"/>
      <c r="M14" s="452"/>
      <c r="N14" s="452"/>
      <c r="O14" s="452"/>
      <c r="P14" s="453"/>
      <c r="Q14" s="444">
        <f t="shared" si="0"/>
        <v>5570.1933472999999</v>
      </c>
    </row>
    <row r="15" spans="1:17" s="454" customFormat="1">
      <c r="A15" s="998" t="s">
        <v>551</v>
      </c>
      <c r="B15" s="938">
        <f ca="1">SUM(B4:B14)</f>
        <v>135353.85791397444</v>
      </c>
      <c r="C15" s="938">
        <f t="shared" ref="C15:Q15" ca="1" si="1">SUM(C4:C14)</f>
        <v>0</v>
      </c>
      <c r="D15" s="938">
        <f t="shared" ca="1" si="1"/>
        <v>345048.2996815489</v>
      </c>
      <c r="E15" s="938">
        <f t="shared" si="1"/>
        <v>5301.3395042022275</v>
      </c>
      <c r="F15" s="938">
        <f t="shared" ca="1" si="1"/>
        <v>51977.315755164011</v>
      </c>
      <c r="G15" s="938">
        <f t="shared" si="1"/>
        <v>253570.39872589591</v>
      </c>
      <c r="H15" s="938">
        <f t="shared" si="1"/>
        <v>35021.169058471045</v>
      </c>
      <c r="I15" s="938">
        <f t="shared" si="1"/>
        <v>0</v>
      </c>
      <c r="J15" s="938">
        <f t="shared" si="1"/>
        <v>827.16879945179744</v>
      </c>
      <c r="K15" s="938">
        <f t="shared" si="1"/>
        <v>0</v>
      </c>
      <c r="L15" s="938">
        <f t="shared" ca="1" si="1"/>
        <v>0</v>
      </c>
      <c r="M15" s="938">
        <f t="shared" si="1"/>
        <v>9026.3572122768765</v>
      </c>
      <c r="N15" s="938">
        <f t="shared" ca="1" si="1"/>
        <v>18548.695383821825</v>
      </c>
      <c r="O15" s="938">
        <f t="shared" si="1"/>
        <v>165.71333333333334</v>
      </c>
      <c r="P15" s="938">
        <f t="shared" si="1"/>
        <v>1582.5333333333335</v>
      </c>
      <c r="Q15" s="938">
        <f t="shared" ca="1" si="1"/>
        <v>856422.84870147379</v>
      </c>
    </row>
    <row r="17" spans="1:17">
      <c r="A17" s="455" t="s">
        <v>552</v>
      </c>
      <c r="B17" s="754">
        <f ca="1">huishoudens!B10</f>
        <v>0.18266434235717946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6533.6830520315507</v>
      </c>
      <c r="C22" s="445">
        <f t="shared" ref="C22:C32" ca="1" si="3">C4*$C$17</f>
        <v>0</v>
      </c>
      <c r="D22" s="445">
        <f t="shared" ref="D22:D32" si="4">D4*$D$17</f>
        <v>22798.474656260165</v>
      </c>
      <c r="E22" s="445">
        <f t="shared" ref="E22:E32" si="5">E4*$E$17</f>
        <v>223.93809267562244</v>
      </c>
      <c r="F22" s="445">
        <f t="shared" ref="F22:F32" si="6">F4*$F$17</f>
        <v>7161.2851982305074</v>
      </c>
      <c r="G22" s="445">
        <f t="shared" ref="G22:G32" si="7">G4*$G$17</f>
        <v>0</v>
      </c>
      <c r="H22" s="445">
        <f t="shared" ref="H22:H32" si="8">H4*$H$17</f>
        <v>0</v>
      </c>
      <c r="I22" s="445">
        <f t="shared" ref="I22:I32" si="9">I4*$I$17</f>
        <v>0</v>
      </c>
      <c r="J22" s="445">
        <f t="shared" ref="J22:J32" si="10">J4*$J$17</f>
        <v>175.09992157824206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36892.480920776092</v>
      </c>
    </row>
    <row r="23" spans="1:17">
      <c r="A23" s="444" t="s">
        <v>155</v>
      </c>
      <c r="B23" s="445">
        <f t="shared" ca="1" si="2"/>
        <v>10415.020834660831</v>
      </c>
      <c r="C23" s="445">
        <f t="shared" ca="1" si="3"/>
        <v>0</v>
      </c>
      <c r="D23" s="445">
        <f t="shared" ca="1" si="4"/>
        <v>8808.159720900172</v>
      </c>
      <c r="E23" s="445">
        <f t="shared" si="5"/>
        <v>261.7533046784929</v>
      </c>
      <c r="F23" s="445">
        <f t="shared" ca="1" si="6"/>
        <v>3626.2150850466574</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23111.148945286153</v>
      </c>
    </row>
    <row r="24" spans="1:17">
      <c r="A24" s="444" t="s">
        <v>193</v>
      </c>
      <c r="B24" s="445">
        <f t="shared" ca="1" si="2"/>
        <v>290.02640556366583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290.02640556366583</v>
      </c>
    </row>
    <row r="25" spans="1:17">
      <c r="A25" s="444" t="s">
        <v>111</v>
      </c>
      <c r="B25" s="445">
        <f t="shared" ca="1" si="2"/>
        <v>56.118041154886328</v>
      </c>
      <c r="C25" s="445">
        <f t="shared" ca="1" si="3"/>
        <v>0</v>
      </c>
      <c r="D25" s="445">
        <f t="shared" si="4"/>
        <v>20.322438777455318</v>
      </c>
      <c r="E25" s="445">
        <f t="shared" si="5"/>
        <v>1.798296352293693</v>
      </c>
      <c r="F25" s="445">
        <f t="shared" si="6"/>
        <v>299.82648697544533</v>
      </c>
      <c r="G25" s="445">
        <f t="shared" si="7"/>
        <v>0</v>
      </c>
      <c r="H25" s="445">
        <f t="shared" si="8"/>
        <v>0</v>
      </c>
      <c r="I25" s="445">
        <f t="shared" si="9"/>
        <v>0</v>
      </c>
      <c r="J25" s="445">
        <f t="shared" si="10"/>
        <v>15.656818583898422</v>
      </c>
      <c r="K25" s="445">
        <f t="shared" si="11"/>
        <v>0</v>
      </c>
      <c r="L25" s="445">
        <f t="shared" si="12"/>
        <v>0</v>
      </c>
      <c r="M25" s="445">
        <f t="shared" si="13"/>
        <v>0</v>
      </c>
      <c r="N25" s="445">
        <f t="shared" si="14"/>
        <v>0</v>
      </c>
      <c r="O25" s="445">
        <f t="shared" si="15"/>
        <v>0</v>
      </c>
      <c r="P25" s="446">
        <f t="shared" si="16"/>
        <v>0</v>
      </c>
      <c r="Q25" s="444">
        <f t="shared" ca="1" si="17"/>
        <v>393.72208184397908</v>
      </c>
    </row>
    <row r="26" spans="1:17">
      <c r="A26" s="444" t="s">
        <v>631</v>
      </c>
      <c r="B26" s="445">
        <f t="shared" ca="1" si="2"/>
        <v>7178.9543104765753</v>
      </c>
      <c r="C26" s="445">
        <f t="shared" ca="1" si="3"/>
        <v>0</v>
      </c>
      <c r="D26" s="445">
        <f t="shared" si="4"/>
        <v>37186.875834117171</v>
      </c>
      <c r="E26" s="445">
        <f t="shared" si="5"/>
        <v>599.92247658087467</v>
      </c>
      <c r="F26" s="445">
        <f t="shared" si="6"/>
        <v>2790.6165363761816</v>
      </c>
      <c r="G26" s="445">
        <f t="shared" si="7"/>
        <v>0</v>
      </c>
      <c r="H26" s="445">
        <f t="shared" si="8"/>
        <v>0</v>
      </c>
      <c r="I26" s="445">
        <f t="shared" si="9"/>
        <v>0</v>
      </c>
      <c r="J26" s="445">
        <f t="shared" si="10"/>
        <v>102.06101484379582</v>
      </c>
      <c r="K26" s="445">
        <f t="shared" si="11"/>
        <v>0</v>
      </c>
      <c r="L26" s="445">
        <f t="shared" si="12"/>
        <v>0</v>
      </c>
      <c r="M26" s="445">
        <f t="shared" si="13"/>
        <v>0</v>
      </c>
      <c r="N26" s="445">
        <f t="shared" si="14"/>
        <v>0</v>
      </c>
      <c r="O26" s="445">
        <f t="shared" si="15"/>
        <v>0</v>
      </c>
      <c r="P26" s="446">
        <f t="shared" si="16"/>
        <v>0</v>
      </c>
      <c r="Q26" s="444">
        <f t="shared" ca="1" si="17"/>
        <v>47858.430172394605</v>
      </c>
    </row>
    <row r="27" spans="1:17" s="450" customFormat="1">
      <c r="A27" s="448" t="s">
        <v>557</v>
      </c>
      <c r="B27" s="748">
        <f t="shared" ca="1" si="2"/>
        <v>12.43386240516079</v>
      </c>
      <c r="C27" s="449">
        <f t="shared" ca="1" si="3"/>
        <v>0</v>
      </c>
      <c r="D27" s="449">
        <f t="shared" si="4"/>
        <v>21.679915203723223</v>
      </c>
      <c r="E27" s="449">
        <f t="shared" si="5"/>
        <v>115.99189716662207</v>
      </c>
      <c r="F27" s="449">
        <f t="shared" si="6"/>
        <v>0</v>
      </c>
      <c r="G27" s="449">
        <f t="shared" si="7"/>
        <v>67148.471026333878</v>
      </c>
      <c r="H27" s="449">
        <f t="shared" si="8"/>
        <v>8720.2710955592902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76018.847796668677</v>
      </c>
    </row>
    <row r="28" spans="1:17">
      <c r="A28" s="444" t="s">
        <v>547</v>
      </c>
      <c r="B28" s="445">
        <f t="shared" ca="1" si="2"/>
        <v>2.1288368790833188</v>
      </c>
      <c r="C28" s="445">
        <f t="shared" ca="1" si="3"/>
        <v>0</v>
      </c>
      <c r="D28" s="445">
        <f t="shared" si="4"/>
        <v>0</v>
      </c>
      <c r="E28" s="445">
        <f t="shared" si="5"/>
        <v>0</v>
      </c>
      <c r="F28" s="445">
        <f t="shared" si="6"/>
        <v>0</v>
      </c>
      <c r="G28" s="445">
        <f t="shared" si="7"/>
        <v>554.82543348033164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556.95427035941498</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235.95809819150693</v>
      </c>
      <c r="C32" s="445">
        <f t="shared" ca="1" si="3"/>
        <v>0</v>
      </c>
      <c r="D32" s="445">
        <f t="shared" si="4"/>
        <v>864.24397041420013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1100.2020686057072</v>
      </c>
    </row>
    <row r="33" spans="1:17" s="454" customFormat="1">
      <c r="A33" s="998" t="s">
        <v>551</v>
      </c>
      <c r="B33" s="938">
        <f ca="1">SUM(B22:B32)</f>
        <v>24724.32344136326</v>
      </c>
      <c r="C33" s="938">
        <f t="shared" ref="C33:Q33" ca="1" si="18">SUM(C22:C32)</f>
        <v>0</v>
      </c>
      <c r="D33" s="938">
        <f t="shared" ca="1" si="18"/>
        <v>69699.756535672888</v>
      </c>
      <c r="E33" s="938">
        <f t="shared" si="18"/>
        <v>1203.4040674539058</v>
      </c>
      <c r="F33" s="938">
        <f t="shared" ca="1" si="18"/>
        <v>13877.943306628791</v>
      </c>
      <c r="G33" s="938">
        <f t="shared" si="18"/>
        <v>67703.296459814213</v>
      </c>
      <c r="H33" s="938">
        <f t="shared" si="18"/>
        <v>8720.2710955592902</v>
      </c>
      <c r="I33" s="938">
        <f t="shared" si="18"/>
        <v>0</v>
      </c>
      <c r="J33" s="938">
        <f t="shared" si="18"/>
        <v>292.81775500593631</v>
      </c>
      <c r="K33" s="938">
        <f t="shared" si="18"/>
        <v>0</v>
      </c>
      <c r="L33" s="938">
        <f t="shared" ca="1" si="18"/>
        <v>0</v>
      </c>
      <c r="M33" s="938">
        <f t="shared" si="18"/>
        <v>0</v>
      </c>
      <c r="N33" s="938">
        <f t="shared" ca="1" si="18"/>
        <v>0</v>
      </c>
      <c r="O33" s="938">
        <f t="shared" si="18"/>
        <v>0</v>
      </c>
      <c r="P33" s="938">
        <f t="shared" si="18"/>
        <v>0</v>
      </c>
      <c r="Q33" s="938">
        <f t="shared" ca="1" si="18"/>
        <v>186221.81266149829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7055.4051800892894</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16423.686030884019</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23479.091210973307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0.18266434235717946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55" t="s">
        <v>844</v>
      </c>
      <c r="B22" s="754" t="s">
        <v>838</v>
      </c>
      <c r="C22" s="75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0.18266434235717946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0.18266434235717946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0.18266434235717946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10317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657.71</v>
      </c>
      <c r="C14" s="324"/>
      <c r="D14" s="324"/>
      <c r="E14" s="324"/>
      <c r="F14" s="324"/>
    </row>
    <row r="15" spans="1:6">
      <c r="A15" s="1290" t="s">
        <v>183</v>
      </c>
      <c r="B15" s="1291">
        <v>5</v>
      </c>
      <c r="C15" s="324"/>
      <c r="D15" s="324"/>
      <c r="E15" s="324"/>
      <c r="F15" s="324"/>
    </row>
    <row r="16" spans="1:6">
      <c r="A16" s="1290" t="s">
        <v>6</v>
      </c>
      <c r="B16" s="1291">
        <v>237</v>
      </c>
      <c r="C16" s="324"/>
      <c r="D16" s="324"/>
      <c r="E16" s="324"/>
      <c r="F16" s="324"/>
    </row>
    <row r="17" spans="1:6">
      <c r="A17" s="1290" t="s">
        <v>7</v>
      </c>
      <c r="B17" s="1291">
        <v>134</v>
      </c>
      <c r="C17" s="324"/>
      <c r="D17" s="324"/>
      <c r="E17" s="324"/>
      <c r="F17" s="324"/>
    </row>
    <row r="18" spans="1:6">
      <c r="A18" s="1290" t="s">
        <v>8</v>
      </c>
      <c r="B18" s="1291">
        <v>269</v>
      </c>
      <c r="C18" s="324"/>
      <c r="D18" s="324"/>
      <c r="E18" s="324"/>
      <c r="F18" s="324"/>
    </row>
    <row r="19" spans="1:6">
      <c r="A19" s="1290" t="s">
        <v>9</v>
      </c>
      <c r="B19" s="1291">
        <v>237</v>
      </c>
      <c r="C19" s="324"/>
      <c r="D19" s="324"/>
      <c r="E19" s="324"/>
      <c r="F19" s="324"/>
    </row>
    <row r="20" spans="1:6">
      <c r="A20" s="1290" t="s">
        <v>10</v>
      </c>
      <c r="B20" s="1291">
        <v>302</v>
      </c>
      <c r="C20" s="324"/>
      <c r="D20" s="324"/>
      <c r="E20" s="324"/>
      <c r="F20" s="324"/>
    </row>
    <row r="21" spans="1:6">
      <c r="A21" s="1290" t="s">
        <v>11</v>
      </c>
      <c r="B21" s="1291">
        <v>0</v>
      </c>
      <c r="C21" s="324"/>
      <c r="D21" s="324"/>
      <c r="E21" s="324"/>
      <c r="F21" s="324"/>
    </row>
    <row r="22" spans="1:6">
      <c r="A22" s="1290" t="s">
        <v>12</v>
      </c>
      <c r="B22" s="1291">
        <v>0</v>
      </c>
      <c r="C22" s="324"/>
      <c r="D22" s="324"/>
      <c r="E22" s="324"/>
      <c r="F22" s="324"/>
    </row>
    <row r="23" spans="1:6">
      <c r="A23" s="1290" t="s">
        <v>13</v>
      </c>
      <c r="B23" s="1291">
        <v>0</v>
      </c>
      <c r="C23" s="324"/>
      <c r="D23" s="324"/>
      <c r="E23" s="324"/>
      <c r="F23" s="324"/>
    </row>
    <row r="24" spans="1:6">
      <c r="A24" s="1290" t="s">
        <v>14</v>
      </c>
      <c r="B24" s="1291">
        <v>0</v>
      </c>
      <c r="C24" s="324"/>
      <c r="D24" s="324"/>
      <c r="E24" s="324"/>
      <c r="F24" s="324"/>
    </row>
    <row r="25" spans="1:6">
      <c r="A25" s="1290" t="s">
        <v>15</v>
      </c>
      <c r="B25" s="1291">
        <v>0</v>
      </c>
      <c r="C25" s="324"/>
      <c r="D25" s="324"/>
      <c r="E25" s="324"/>
      <c r="F25" s="324"/>
    </row>
    <row r="26" spans="1:6">
      <c r="A26" s="1290" t="s">
        <v>16</v>
      </c>
      <c r="B26" s="1291">
        <v>5</v>
      </c>
      <c r="C26" s="324"/>
      <c r="D26" s="324"/>
      <c r="E26" s="324"/>
      <c r="F26" s="324"/>
    </row>
    <row r="27" spans="1:6">
      <c r="A27" s="1290" t="s">
        <v>17</v>
      </c>
      <c r="B27" s="1291">
        <v>0</v>
      </c>
      <c r="C27" s="324"/>
      <c r="D27" s="324"/>
      <c r="E27" s="324"/>
      <c r="F27" s="324"/>
    </row>
    <row r="28" spans="1:6" s="43" customFormat="1">
      <c r="A28" s="1292" t="s">
        <v>18</v>
      </c>
      <c r="B28" s="1293">
        <v>0</v>
      </c>
      <c r="C28" s="330"/>
      <c r="D28" s="330"/>
      <c r="E28" s="330"/>
      <c r="F28" s="330"/>
    </row>
    <row r="29" spans="1:6">
      <c r="A29" s="1292" t="s">
        <v>908</v>
      </c>
      <c r="B29" s="1293">
        <v>1</v>
      </c>
      <c r="C29" s="330"/>
      <c r="D29" s="330"/>
      <c r="E29" s="330"/>
      <c r="F29" s="330"/>
    </row>
    <row r="30" spans="1:6">
      <c r="A30" s="1285" t="s">
        <v>909</v>
      </c>
      <c r="B30" s="1294">
        <v>6</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5</v>
      </c>
      <c r="F36" s="1291">
        <v>5492</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44764.755276999997</v>
      </c>
    </row>
    <row r="39" spans="1:6">
      <c r="A39" s="1290" t="s">
        <v>29</v>
      </c>
      <c r="B39" s="1290" t="s">
        <v>30</v>
      </c>
      <c r="C39" s="1291">
        <v>8803</v>
      </c>
      <c r="D39" s="1291">
        <v>125126093.04000001</v>
      </c>
      <c r="E39" s="1291">
        <v>10345</v>
      </c>
      <c r="F39" s="1291">
        <v>33088768.539000001</v>
      </c>
    </row>
    <row r="40" spans="1:6">
      <c r="A40" s="1290" t="s">
        <v>29</v>
      </c>
      <c r="B40" s="1290" t="s">
        <v>28</v>
      </c>
      <c r="C40" s="1291">
        <v>0</v>
      </c>
      <c r="D40" s="1291">
        <v>0</v>
      </c>
      <c r="E40" s="1291">
        <v>0</v>
      </c>
      <c r="F40" s="1291">
        <v>0</v>
      </c>
    </row>
    <row r="41" spans="1:6">
      <c r="A41" s="1290" t="s">
        <v>31</v>
      </c>
      <c r="B41" s="1290" t="s">
        <v>32</v>
      </c>
      <c r="C41" s="1291">
        <v>65</v>
      </c>
      <c r="D41" s="1291">
        <v>2472011.7969</v>
      </c>
      <c r="E41" s="1291">
        <v>273</v>
      </c>
      <c r="F41" s="1291">
        <v>2696567.5247999998</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8</v>
      </c>
      <c r="D44" s="1291">
        <v>8089834.7512999997</v>
      </c>
      <c r="E44" s="1291">
        <v>19</v>
      </c>
      <c r="F44" s="1291">
        <v>703987.02745000005</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35774.490700000002</v>
      </c>
    </row>
    <row r="48" spans="1:6">
      <c r="A48" s="1290" t="s">
        <v>31</v>
      </c>
      <c r="B48" s="1290" t="s">
        <v>28</v>
      </c>
      <c r="C48" s="1291">
        <v>32</v>
      </c>
      <c r="D48" s="1291">
        <v>192755511.63999999</v>
      </c>
      <c r="E48" s="1291">
        <v>42</v>
      </c>
      <c r="F48" s="1291">
        <v>35266926.170999996</v>
      </c>
    </row>
    <row r="49" spans="1:6">
      <c r="A49" s="1290" t="s">
        <v>31</v>
      </c>
      <c r="B49" s="1290" t="s">
        <v>39</v>
      </c>
      <c r="C49" s="1291">
        <v>0</v>
      </c>
      <c r="D49" s="1291">
        <v>0</v>
      </c>
      <c r="E49" s="1291">
        <v>0</v>
      </c>
      <c r="F49" s="1291">
        <v>0</v>
      </c>
    </row>
    <row r="50" spans="1:6">
      <c r="A50" s="1290" t="s">
        <v>31</v>
      </c>
      <c r="B50" s="1290" t="s">
        <v>40</v>
      </c>
      <c r="C50" s="1291">
        <v>12</v>
      </c>
      <c r="D50" s="1291">
        <v>777369.88647000003</v>
      </c>
      <c r="E50" s="1291">
        <v>18</v>
      </c>
      <c r="F50" s="1291">
        <v>598089.63439999998</v>
      </c>
    </row>
    <row r="51" spans="1:6">
      <c r="A51" s="1290" t="s">
        <v>41</v>
      </c>
      <c r="B51" s="1290" t="s">
        <v>42</v>
      </c>
      <c r="C51" s="1291">
        <v>0</v>
      </c>
      <c r="D51" s="1291">
        <v>0</v>
      </c>
      <c r="E51" s="1291">
        <v>23</v>
      </c>
      <c r="F51" s="1291">
        <v>226221.31833000001</v>
      </c>
    </row>
    <row r="52" spans="1:6">
      <c r="A52" s="1290" t="s">
        <v>41</v>
      </c>
      <c r="B52" s="1290" t="s">
        <v>28</v>
      </c>
      <c r="C52" s="1291">
        <v>5</v>
      </c>
      <c r="D52" s="1291">
        <v>111536.73233</v>
      </c>
      <c r="E52" s="1291">
        <v>6</v>
      </c>
      <c r="F52" s="1291">
        <v>80998.144597000006</v>
      </c>
    </row>
    <row r="53" spans="1:6">
      <c r="A53" s="1290" t="s">
        <v>43</v>
      </c>
      <c r="B53" s="1290" t="s">
        <v>44</v>
      </c>
      <c r="C53" s="1291">
        <v>198</v>
      </c>
      <c r="D53" s="1291">
        <v>4278435.4971000003</v>
      </c>
      <c r="E53" s="1291">
        <v>360</v>
      </c>
      <c r="F53" s="1291">
        <v>1291757.8502</v>
      </c>
    </row>
    <row r="54" spans="1:6">
      <c r="A54" s="1290" t="s">
        <v>45</v>
      </c>
      <c r="B54" s="1290" t="s">
        <v>46</v>
      </c>
      <c r="C54" s="1291">
        <v>0</v>
      </c>
      <c r="D54" s="1291">
        <v>0</v>
      </c>
      <c r="E54" s="1291">
        <v>1</v>
      </c>
      <c r="F54" s="1291">
        <v>1587756</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54</v>
      </c>
      <c r="D57" s="1291">
        <v>1315601.0438000001</v>
      </c>
      <c r="E57" s="1291">
        <v>114</v>
      </c>
      <c r="F57" s="1291">
        <v>3734788.3232999998</v>
      </c>
    </row>
    <row r="58" spans="1:6">
      <c r="A58" s="1290" t="s">
        <v>48</v>
      </c>
      <c r="B58" s="1290" t="s">
        <v>50</v>
      </c>
      <c r="C58" s="1291">
        <v>45</v>
      </c>
      <c r="D58" s="1291">
        <v>3721773.6468000002</v>
      </c>
      <c r="E58" s="1291">
        <v>53</v>
      </c>
      <c r="F58" s="1291">
        <v>1294240.2731000001</v>
      </c>
    </row>
    <row r="59" spans="1:6">
      <c r="A59" s="1290" t="s">
        <v>48</v>
      </c>
      <c r="B59" s="1290" t="s">
        <v>51</v>
      </c>
      <c r="C59" s="1291">
        <v>127</v>
      </c>
      <c r="D59" s="1291">
        <v>10237407.055</v>
      </c>
      <c r="E59" s="1291">
        <v>259</v>
      </c>
      <c r="F59" s="1291">
        <v>21706277.440000001</v>
      </c>
    </row>
    <row r="60" spans="1:6">
      <c r="A60" s="1290" t="s">
        <v>48</v>
      </c>
      <c r="B60" s="1290" t="s">
        <v>52</v>
      </c>
      <c r="C60" s="1291">
        <v>72</v>
      </c>
      <c r="D60" s="1291">
        <v>2418289.1987000001</v>
      </c>
      <c r="E60" s="1291">
        <v>91</v>
      </c>
      <c r="F60" s="1291">
        <v>2256445.5921999998</v>
      </c>
    </row>
    <row r="61" spans="1:6">
      <c r="A61" s="1290" t="s">
        <v>48</v>
      </c>
      <c r="B61" s="1290" t="s">
        <v>53</v>
      </c>
      <c r="C61" s="1291">
        <v>267</v>
      </c>
      <c r="D61" s="1291">
        <v>16369853.071</v>
      </c>
      <c r="E61" s="1291">
        <v>416</v>
      </c>
      <c r="F61" s="1291">
        <v>21776462.335000001</v>
      </c>
    </row>
    <row r="62" spans="1:6">
      <c r="A62" s="1290" t="s">
        <v>48</v>
      </c>
      <c r="B62" s="1290" t="s">
        <v>54</v>
      </c>
      <c r="C62" s="1291">
        <v>10</v>
      </c>
      <c r="D62" s="1291">
        <v>2187167.9602999999</v>
      </c>
      <c r="E62" s="1291">
        <v>24</v>
      </c>
      <c r="F62" s="1291">
        <v>476242.17374</v>
      </c>
    </row>
    <row r="63" spans="1:6">
      <c r="A63" s="1290" t="s">
        <v>48</v>
      </c>
      <c r="B63" s="1290" t="s">
        <v>28</v>
      </c>
      <c r="C63" s="1291">
        <v>108</v>
      </c>
      <c r="D63" s="1291">
        <v>12092204.137</v>
      </c>
      <c r="E63" s="1291">
        <v>97</v>
      </c>
      <c r="F63" s="1291">
        <v>5772806.7846999997</v>
      </c>
    </row>
    <row r="64" spans="1:6">
      <c r="A64" s="1290" t="s">
        <v>55</v>
      </c>
      <c r="B64" s="1290" t="s">
        <v>56</v>
      </c>
      <c r="C64" s="1291">
        <v>0</v>
      </c>
      <c r="D64" s="1291">
        <v>0</v>
      </c>
      <c r="E64" s="1291">
        <v>0</v>
      </c>
      <c r="F64" s="1291">
        <v>0</v>
      </c>
    </row>
    <row r="65" spans="1:6">
      <c r="A65" s="1290" t="s">
        <v>55</v>
      </c>
      <c r="B65" s="1290" t="s">
        <v>28</v>
      </c>
      <c r="C65" s="1291">
        <v>4</v>
      </c>
      <c r="D65" s="1291">
        <v>87070.036225999997</v>
      </c>
      <c r="E65" s="1291">
        <v>4</v>
      </c>
      <c r="F65" s="1291">
        <v>37125.608530999998</v>
      </c>
    </row>
    <row r="66" spans="1:6">
      <c r="A66" s="1290" t="s">
        <v>55</v>
      </c>
      <c r="B66" s="1290" t="s">
        <v>57</v>
      </c>
      <c r="C66" s="1291">
        <v>0</v>
      </c>
      <c r="D66" s="1291">
        <v>0</v>
      </c>
      <c r="E66" s="1291">
        <v>8</v>
      </c>
      <c r="F66" s="1291">
        <v>134286.67624999999</v>
      </c>
    </row>
    <row r="67" spans="1:6">
      <c r="A67" s="1292" t="s">
        <v>55</v>
      </c>
      <c r="B67" s="1292" t="s">
        <v>58</v>
      </c>
      <c r="C67" s="1291">
        <v>0</v>
      </c>
      <c r="D67" s="1291">
        <v>0</v>
      </c>
      <c r="E67" s="1291">
        <v>0</v>
      </c>
      <c r="F67" s="1291">
        <v>0</v>
      </c>
    </row>
    <row r="68" spans="1:6">
      <c r="A68" s="1285" t="s">
        <v>55</v>
      </c>
      <c r="B68" s="1285" t="s">
        <v>59</v>
      </c>
      <c r="C68" s="1294">
        <v>4</v>
      </c>
      <c r="D68" s="1294">
        <v>54855.630047999999</v>
      </c>
      <c r="E68" s="1294">
        <v>9</v>
      </c>
      <c r="F68" s="1294">
        <v>1899385.0247</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150040299</v>
      </c>
      <c r="E73" s="443"/>
      <c r="F73" s="324"/>
    </row>
    <row r="74" spans="1:6">
      <c r="A74" s="1290" t="s">
        <v>63</v>
      </c>
      <c r="B74" s="1290" t="s">
        <v>657</v>
      </c>
      <c r="C74" s="1304" t="s">
        <v>659</v>
      </c>
      <c r="D74" s="1305">
        <v>29084382.686375245</v>
      </c>
      <c r="E74" s="443"/>
      <c r="F74" s="324"/>
    </row>
    <row r="75" spans="1:6">
      <c r="A75" s="1290" t="s">
        <v>64</v>
      </c>
      <c r="B75" s="1290" t="s">
        <v>656</v>
      </c>
      <c r="C75" s="1304" t="s">
        <v>660</v>
      </c>
      <c r="D75" s="1305">
        <v>47976230</v>
      </c>
      <c r="E75" s="443"/>
      <c r="F75" s="324"/>
    </row>
    <row r="76" spans="1:6">
      <c r="A76" s="1290" t="s">
        <v>64</v>
      </c>
      <c r="B76" s="1290" t="s">
        <v>657</v>
      </c>
      <c r="C76" s="1304" t="s">
        <v>661</v>
      </c>
      <c r="D76" s="1305">
        <v>6134161.6863752473</v>
      </c>
      <c r="E76" s="443"/>
      <c r="F76" s="324"/>
    </row>
    <row r="77" spans="1:6">
      <c r="A77" s="1290" t="s">
        <v>65</v>
      </c>
      <c r="B77" s="1290" t="s">
        <v>656</v>
      </c>
      <c r="C77" s="1304" t="s">
        <v>662</v>
      </c>
      <c r="D77" s="1305">
        <v>59223700</v>
      </c>
      <c r="E77" s="443"/>
      <c r="F77" s="324"/>
    </row>
    <row r="78" spans="1:6">
      <c r="A78" s="1285" t="s">
        <v>65</v>
      </c>
      <c r="B78" s="1285" t="s">
        <v>657</v>
      </c>
      <c r="C78" s="1285" t="s">
        <v>663</v>
      </c>
      <c r="D78" s="1306">
        <v>8797932</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582722.6272495063</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7055.4051800892894</v>
      </c>
      <c r="C90" s="324"/>
      <c r="D90" s="324"/>
      <c r="E90" s="324"/>
      <c r="F90" s="324"/>
    </row>
    <row r="91" spans="1:6">
      <c r="A91" s="1290" t="s">
        <v>67</v>
      </c>
      <c r="B91" s="1291">
        <v>2680.0244707253028</v>
      </c>
      <c r="C91" s="324"/>
      <c r="D91" s="324"/>
      <c r="E91" s="324"/>
      <c r="F91" s="324"/>
    </row>
    <row r="92" spans="1:6">
      <c r="A92" s="1285" t="s">
        <v>68</v>
      </c>
      <c r="B92" s="1286">
        <v>13743.661560158715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6495</v>
      </c>
      <c r="C97" s="324"/>
      <c r="D97" s="324"/>
      <c r="E97" s="324"/>
      <c r="F97" s="324"/>
    </row>
    <row r="98" spans="1:6">
      <c r="A98" s="1290" t="s">
        <v>71</v>
      </c>
      <c r="B98" s="1291">
        <v>10</v>
      </c>
      <c r="C98" s="324"/>
      <c r="D98" s="324"/>
      <c r="E98" s="324"/>
      <c r="F98" s="324"/>
    </row>
    <row r="99" spans="1:6">
      <c r="A99" s="1290" t="s">
        <v>72</v>
      </c>
      <c r="B99" s="1291">
        <v>27</v>
      </c>
      <c r="C99" s="324"/>
      <c r="D99" s="324"/>
      <c r="E99" s="324"/>
      <c r="F99" s="324"/>
    </row>
    <row r="100" spans="1:6">
      <c r="A100" s="1290" t="s">
        <v>73</v>
      </c>
      <c r="B100" s="1291">
        <v>410</v>
      </c>
      <c r="C100" s="324"/>
      <c r="D100" s="324"/>
      <c r="E100" s="324"/>
      <c r="F100" s="324"/>
    </row>
    <row r="101" spans="1:6">
      <c r="A101" s="1290" t="s">
        <v>74</v>
      </c>
      <c r="B101" s="1291">
        <v>70</v>
      </c>
      <c r="C101" s="324"/>
      <c r="D101" s="324"/>
      <c r="E101" s="324"/>
      <c r="F101" s="324"/>
    </row>
    <row r="102" spans="1:6">
      <c r="A102" s="1290" t="s">
        <v>75</v>
      </c>
      <c r="B102" s="1291">
        <v>123</v>
      </c>
      <c r="C102" s="324"/>
      <c r="D102" s="324"/>
      <c r="E102" s="324"/>
      <c r="F102" s="324"/>
    </row>
    <row r="103" spans="1:6">
      <c r="A103" s="1290" t="s">
        <v>76</v>
      </c>
      <c r="B103" s="1291">
        <v>180</v>
      </c>
      <c r="C103" s="324"/>
      <c r="D103" s="324"/>
      <c r="E103" s="324"/>
      <c r="F103" s="324"/>
    </row>
    <row r="104" spans="1:6">
      <c r="A104" s="1290" t="s">
        <v>77</v>
      </c>
      <c r="B104" s="1291">
        <v>1800</v>
      </c>
      <c r="C104" s="324"/>
      <c r="D104" s="324"/>
      <c r="E104" s="324"/>
      <c r="F104" s="324"/>
    </row>
    <row r="105" spans="1:6">
      <c r="A105" s="1285" t="s">
        <v>78</v>
      </c>
      <c r="B105" s="1294">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1</v>
      </c>
      <c r="C122" s="1291">
        <v>0</v>
      </c>
      <c r="D122" s="324"/>
      <c r="E122" s="324"/>
      <c r="F122" s="324"/>
    </row>
    <row r="123" spans="1:6">
      <c r="A123" s="1290" t="s">
        <v>87</v>
      </c>
      <c r="B123" s="1291">
        <v>66</v>
      </c>
      <c r="C123" s="1291">
        <v>16</v>
      </c>
      <c r="D123" s="324"/>
      <c r="E123" s="324"/>
      <c r="F123" s="324"/>
    </row>
    <row r="124" spans="1:6" s="43" customFormat="1">
      <c r="A124" s="1292" t="s">
        <v>88</v>
      </c>
      <c r="B124" s="1313">
        <v>1</v>
      </c>
      <c r="C124" s="1313">
        <v>0</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89</v>
      </c>
      <c r="C129" s="324"/>
      <c r="D129" s="324"/>
      <c r="E129" s="324"/>
      <c r="F129" s="324"/>
    </row>
    <row r="130" spans="1:6">
      <c r="A130" s="1290" t="s">
        <v>290</v>
      </c>
      <c r="B130" s="1291">
        <v>1</v>
      </c>
      <c r="C130" s="324"/>
      <c r="D130" s="324"/>
      <c r="E130" s="324"/>
      <c r="F130" s="324"/>
    </row>
    <row r="131" spans="1:6">
      <c r="A131" s="1290" t="s">
        <v>291</v>
      </c>
      <c r="B131" s="1291">
        <v>1</v>
      </c>
      <c r="C131" s="324"/>
      <c r="D131" s="324"/>
      <c r="E131" s="324"/>
      <c r="F131" s="324"/>
    </row>
    <row r="132" spans="1:6">
      <c r="A132" s="1285" t="s">
        <v>292</v>
      </c>
      <c r="B132" s="1286">
        <v>14</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135353.8579139745</v>
      </c>
      <c r="C3" s="43" t="s">
        <v>169</v>
      </c>
      <c r="D3" s="43"/>
      <c r="E3" s="154"/>
      <c r="F3" s="43"/>
      <c r="G3" s="43"/>
      <c r="H3" s="43"/>
      <c r="I3" s="43"/>
      <c r="J3" s="43"/>
      <c r="K3" s="96"/>
    </row>
    <row r="4" spans="1:11">
      <c r="A4" s="352" t="s">
        <v>170</v>
      </c>
      <c r="B4" s="49">
        <f>IF(ISERROR('SEAP template'!B78+'SEAP template'!C78),0,'SEAP template'!B78+'SEAP template'!C78)</f>
        <v>23479.091210973307</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0</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0.18266434235717946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1587.7560000000001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1587.7560000000001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0.18266434235717946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290.02640556366583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33088.768539000004</v>
      </c>
      <c r="C5" s="17">
        <f>IF(ISERROR('Eigen informatie GS &amp; warmtenet'!B57),0,'Eigen informatie GS &amp; warmtenet'!B57)</f>
        <v>0</v>
      </c>
      <c r="D5" s="30">
        <f>(SUM(HH_hh_gas_kWh,HH_rest_gas_kWh)/1000)*0.902</f>
        <v>112863.73592208001</v>
      </c>
      <c r="E5" s="17">
        <f>B32*B41</f>
        <v>986.51142147851294</v>
      </c>
      <c r="F5" s="17">
        <f>B36*B45</f>
        <v>26821.292877267817</v>
      </c>
      <c r="G5" s="18"/>
      <c r="H5" s="17"/>
      <c r="I5" s="17"/>
      <c r="J5" s="17">
        <f>B35*B44+C35*C44</f>
        <v>494.63254683119226</v>
      </c>
      <c r="K5" s="17"/>
      <c r="L5" s="17"/>
      <c r="M5" s="17"/>
      <c r="N5" s="17">
        <f>B34*B43+C34*C43</f>
        <v>12571.848454191999</v>
      </c>
      <c r="O5" s="17">
        <f>B52*B53*B54</f>
        <v>164.15</v>
      </c>
      <c r="P5" s="17">
        <f>B60*B61*B62/1000-B60*B61*B62/1000/B63</f>
        <v>1544.4</v>
      </c>
    </row>
    <row r="6" spans="1:16">
      <c r="A6" s="16" t="s">
        <v>617</v>
      </c>
      <c r="B6" s="756">
        <f>kWh_PV_kleiner_dan_10kW</f>
        <v>2680.0244707253028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35768.793009725305</v>
      </c>
      <c r="C8" s="21">
        <f>C5</f>
        <v>0</v>
      </c>
      <c r="D8" s="21">
        <f>D5</f>
        <v>112863.73592208001</v>
      </c>
      <c r="E8" s="21">
        <f>E5</f>
        <v>986.51142147851294</v>
      </c>
      <c r="F8" s="21">
        <f>F5</f>
        <v>26821.292877267817</v>
      </c>
      <c r="G8" s="21"/>
      <c r="H8" s="21"/>
      <c r="I8" s="21"/>
      <c r="J8" s="21">
        <f>J5</f>
        <v>494.63254683119226</v>
      </c>
      <c r="K8" s="21"/>
      <c r="L8" s="21">
        <f>L5</f>
        <v>0</v>
      </c>
      <c r="M8" s="21">
        <f>M5</f>
        <v>0</v>
      </c>
      <c r="N8" s="21">
        <f>N5</f>
        <v>12571.848454191999</v>
      </c>
      <c r="O8" s="21">
        <f>O5</f>
        <v>164.15</v>
      </c>
      <c r="P8" s="21">
        <f>P5</f>
        <v>1544.4</v>
      </c>
    </row>
    <row r="9" spans="1:16">
      <c r="B9" s="19"/>
      <c r="C9" s="19"/>
      <c r="D9" s="254"/>
      <c r="E9" s="19"/>
      <c r="F9" s="19"/>
      <c r="G9" s="19"/>
      <c r="H9" s="19"/>
      <c r="I9" s="19"/>
      <c r="J9" s="19"/>
      <c r="K9" s="19"/>
      <c r="L9" s="19"/>
      <c r="M9" s="19"/>
      <c r="N9" s="19"/>
      <c r="O9" s="19"/>
      <c r="P9" s="19"/>
    </row>
    <row r="10" spans="1:16">
      <c r="A10" s="24" t="s">
        <v>213</v>
      </c>
      <c r="B10" s="25">
        <f ca="1">'EF ele_warmte'!B12</f>
        <v>0.18266434235717946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6533.6830520315507</v>
      </c>
      <c r="C12" s="23">
        <f ca="1">C10*C8</f>
        <v>0</v>
      </c>
      <c r="D12" s="23">
        <f>D8*D10</f>
        <v>22798.474656260165</v>
      </c>
      <c r="E12" s="23">
        <f>E10*E8</f>
        <v>223.93809267562244</v>
      </c>
      <c r="F12" s="23">
        <f>F10*F8</f>
        <v>7161.2851982305074</v>
      </c>
      <c r="G12" s="23"/>
      <c r="H12" s="23"/>
      <c r="I12" s="23"/>
      <c r="J12" s="23">
        <f>J10*J8</f>
        <v>175.09992157824206</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10317</v>
      </c>
      <c r="C26" s="36"/>
      <c r="D26" s="225"/>
    </row>
    <row r="27" spans="1:5" s="15" customFormat="1">
      <c r="A27" s="227" t="s">
        <v>686</v>
      </c>
      <c r="B27" s="37">
        <f>SUM(HH_hh_gas_aantal,HH_rest_gas_aantal)</f>
        <v>8803</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8362.85</v>
      </c>
      <c r="C31" s="34" t="s">
        <v>110</v>
      </c>
      <c r="D31" s="171"/>
    </row>
    <row r="32" spans="1:5">
      <c r="A32" s="168" t="s">
        <v>72</v>
      </c>
      <c r="B32" s="33">
        <f>IF((B21*($B$26-($B$27-0.05*$B$27)-$B$60))&lt;0,0,B21*($B$26-($B$27-0.05*$B$27)-$B$60))</f>
        <v>12.088236468854303</v>
      </c>
      <c r="C32" s="34" t="s">
        <v>110</v>
      </c>
      <c r="D32" s="171"/>
    </row>
    <row r="33" spans="1:6">
      <c r="A33" s="168" t="s">
        <v>73</v>
      </c>
      <c r="B33" s="33">
        <f>IF((B22*($B$26-($B$27-0.05*$B$27)-$B$60))&lt;0,0,B22*($B$26-($B$27-0.05*$B$27)-$B$60))</f>
        <v>420.95630695741573</v>
      </c>
      <c r="C33" s="34" t="s">
        <v>110</v>
      </c>
      <c r="D33" s="171"/>
    </row>
    <row r="34" spans="1:6">
      <c r="A34" s="168" t="s">
        <v>74</v>
      </c>
      <c r="B34" s="33">
        <f>IF((B24*($B$26-($B$27-0.05*$B$27)-$B$60))&lt;0,0,B24*($B$26-($B$27-0.05*$B$27)-$B$60))</f>
        <v>83.593296481201278</v>
      </c>
      <c r="C34" s="33">
        <f>B26*C24</f>
        <v>2111.5013658930311</v>
      </c>
      <c r="D34" s="230"/>
    </row>
    <row r="35" spans="1:6">
      <c r="A35" s="168" t="s">
        <v>76</v>
      </c>
      <c r="B35" s="33">
        <f>IF((B19*($B$26-($B$27-0.05*$B$27)-$B$60))&lt;0,0,B19*($B$26-($B$27-0.05*$B$27)-$B$60))</f>
        <v>40.822817638546859</v>
      </c>
      <c r="C35" s="33">
        <f>B35/2</f>
        <v>20.411408819273429</v>
      </c>
      <c r="D35" s="230"/>
    </row>
    <row r="36" spans="1:6">
      <c r="A36" s="168" t="s">
        <v>77</v>
      </c>
      <c r="B36" s="33">
        <f>IF((B18*($B$26-($B$27-0.05*$B$27)-$B$60))&lt;0,0,B18*($B$26-($B$27-0.05*$B$27)-$B$60))</f>
        <v>1315.6893424539819</v>
      </c>
      <c r="C36" s="34" t="s">
        <v>110</v>
      </c>
      <c r="D36" s="171"/>
    </row>
    <row r="37" spans="1:6">
      <c r="A37" s="168" t="s">
        <v>78</v>
      </c>
      <c r="B37" s="33">
        <f>B60</f>
        <v>81</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105</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81</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57017.262922040005</v>
      </c>
      <c r="C5" s="17">
        <f>IF(ISERROR('Eigen informatie GS &amp; warmtenet'!B58),0,'Eigen informatie GS &amp; warmtenet'!B58)</f>
        <v>0</v>
      </c>
      <c r="D5" s="30">
        <f>SUM(D6:D12)</f>
        <v>43604.751093565203</v>
      </c>
      <c r="E5" s="17">
        <f>SUM(E6:E12)</f>
        <v>1153.0982584955634</v>
      </c>
      <c r="F5" s="17">
        <f>SUM(F6:F12)</f>
        <v>13581.329906541787</v>
      </c>
      <c r="G5" s="18"/>
      <c r="H5" s="17"/>
      <c r="I5" s="17"/>
      <c r="J5" s="17">
        <f>SUM(J6:J12)</f>
        <v>0</v>
      </c>
      <c r="K5" s="17"/>
      <c r="L5" s="17"/>
      <c r="M5" s="17"/>
      <c r="N5" s="17">
        <f>SUM(N6:N12)</f>
        <v>3516.911110015441</v>
      </c>
      <c r="O5" s="17">
        <f>B38*B39*B40</f>
        <v>1.5633333333333335</v>
      </c>
      <c r="P5" s="17">
        <f>B46*B47*B48/1000-B46*B47*B48/1000/B49</f>
        <v>38.133333333333333</v>
      </c>
      <c r="R5" s="32"/>
    </row>
    <row r="6" spans="1:18">
      <c r="A6" s="32" t="s">
        <v>53</v>
      </c>
      <c r="B6" s="37">
        <f>B26</f>
        <v>21776.462335</v>
      </c>
      <c r="C6" s="33"/>
      <c r="D6" s="37">
        <f>IF(ISERROR(TER_kantoor_gas_kWh/1000),0,TER_kantoor_gas_kWh/1000)*0.902</f>
        <v>14765.607470042001</v>
      </c>
      <c r="E6" s="33">
        <f>$C$26*'E Balans VL '!I12/100/3.6*1000000</f>
        <v>285.08071667705559</v>
      </c>
      <c r="F6" s="33">
        <f>$C$26*('E Balans VL '!L12+'E Balans VL '!N12)/100/3.6*1000000</f>
        <v>5552.7728658691876</v>
      </c>
      <c r="G6" s="34"/>
      <c r="H6" s="33"/>
      <c r="I6" s="33"/>
      <c r="J6" s="33">
        <f>$C$26*('E Balans VL '!D12+'E Balans VL '!E12)/100/3.6*1000000</f>
        <v>0</v>
      </c>
      <c r="K6" s="33"/>
      <c r="L6" s="33"/>
      <c r="M6" s="33"/>
      <c r="N6" s="33">
        <f>$C$26*'E Balans VL '!Y12/100/3.6*1000000</f>
        <v>21.849793405504613</v>
      </c>
      <c r="O6" s="33"/>
      <c r="P6" s="33"/>
      <c r="R6" s="32"/>
    </row>
    <row r="7" spans="1:18">
      <c r="A7" s="32" t="s">
        <v>52</v>
      </c>
      <c r="B7" s="37">
        <f t="shared" ref="B7:B12" si="0">B27</f>
        <v>2256.4455921999997</v>
      </c>
      <c r="C7" s="33"/>
      <c r="D7" s="37">
        <f>IF(ISERROR(TER_horeca_gas_kWh/1000),0,TER_horeca_gas_kWh/1000)*0.902</f>
        <v>2181.2968572274003</v>
      </c>
      <c r="E7" s="33">
        <f>$C$27*'E Balans VL '!I9/100/3.6*1000000</f>
        <v>74.674623603717379</v>
      </c>
      <c r="F7" s="33">
        <f>$C$27*('E Balans VL '!L9+'E Balans VL '!N9)/100/3.6*1000000</f>
        <v>970.26295689900405</v>
      </c>
      <c r="G7" s="34"/>
      <c r="H7" s="33"/>
      <c r="I7" s="33"/>
      <c r="J7" s="33">
        <f>$C$27*('E Balans VL '!D9+'E Balans VL '!E9)/100/3.6*1000000</f>
        <v>0</v>
      </c>
      <c r="K7" s="33"/>
      <c r="L7" s="33"/>
      <c r="M7" s="33"/>
      <c r="N7" s="33">
        <f>$C$27*'E Balans VL '!Y9/100/3.6*1000000</f>
        <v>0.54315922122843852</v>
      </c>
      <c r="O7" s="33"/>
      <c r="P7" s="33"/>
      <c r="R7" s="32"/>
    </row>
    <row r="8" spans="1:18">
      <c r="A8" s="6" t="s">
        <v>51</v>
      </c>
      <c r="B8" s="37">
        <f t="shared" si="0"/>
        <v>21706.277440000002</v>
      </c>
      <c r="C8" s="33"/>
      <c r="D8" s="37">
        <f>IF(ISERROR(TER_handel_gas_kWh/1000),0,TER_handel_gas_kWh/1000)*0.902</f>
        <v>9234.1411636100001</v>
      </c>
      <c r="E8" s="33">
        <f>$C$28*'E Balans VL '!I13/100/3.6*1000000</f>
        <v>685.08328221108366</v>
      </c>
      <c r="F8" s="33">
        <f>$C$28*('E Balans VL '!L13+'E Balans VL '!N13)/100/3.6*1000000</f>
        <v>4256.9832297991597</v>
      </c>
      <c r="G8" s="34"/>
      <c r="H8" s="33"/>
      <c r="I8" s="33"/>
      <c r="J8" s="33">
        <f>$C$28*('E Balans VL '!D13+'E Balans VL '!E13)/100/3.6*1000000</f>
        <v>0</v>
      </c>
      <c r="K8" s="33"/>
      <c r="L8" s="33"/>
      <c r="M8" s="33"/>
      <c r="N8" s="33">
        <f>$C$28*'E Balans VL '!Y13/100/3.6*1000000</f>
        <v>25.761137099250774</v>
      </c>
      <c r="O8" s="33"/>
      <c r="P8" s="33"/>
      <c r="R8" s="32"/>
    </row>
    <row r="9" spans="1:18">
      <c r="A9" s="32" t="s">
        <v>50</v>
      </c>
      <c r="B9" s="37">
        <f t="shared" si="0"/>
        <v>1294.2402731000002</v>
      </c>
      <c r="C9" s="33"/>
      <c r="D9" s="37">
        <f>IF(ISERROR(TER_gezond_gas_kWh/1000),0,TER_gezond_gas_kWh/1000)*0.902</f>
        <v>3357.0398294136003</v>
      </c>
      <c r="E9" s="33">
        <f>$C$29*'E Balans VL '!I10/100/3.6*1000000</f>
        <v>0.16570061711589928</v>
      </c>
      <c r="F9" s="33">
        <f>$C$29*('E Balans VL '!L10+'E Balans VL '!N10)/100/3.6*1000000</f>
        <v>269.64449546791593</v>
      </c>
      <c r="G9" s="34"/>
      <c r="H9" s="33"/>
      <c r="I9" s="33"/>
      <c r="J9" s="33">
        <f>$C$29*('E Balans VL '!D10+'E Balans VL '!E10)/100/3.6*1000000</f>
        <v>0</v>
      </c>
      <c r="K9" s="33"/>
      <c r="L9" s="33"/>
      <c r="M9" s="33"/>
      <c r="N9" s="33">
        <f>$C$29*'E Balans VL '!Y10/100/3.6*1000000</f>
        <v>15.201463745935262</v>
      </c>
      <c r="O9" s="33"/>
      <c r="P9" s="33"/>
      <c r="R9" s="32"/>
    </row>
    <row r="10" spans="1:18">
      <c r="A10" s="32" t="s">
        <v>49</v>
      </c>
      <c r="B10" s="37">
        <f t="shared" si="0"/>
        <v>3734.7883232999998</v>
      </c>
      <c r="C10" s="33"/>
      <c r="D10" s="37">
        <f>IF(ISERROR(TER_ander_gas_kWh/1000),0,TER_ander_gas_kWh/1000)*0.902</f>
        <v>1186.6721415076001</v>
      </c>
      <c r="E10" s="33">
        <f>$C$30*'E Balans VL '!I14/100/3.6*1000000</f>
        <v>5.6162433445513917</v>
      </c>
      <c r="F10" s="33">
        <f>$C$30*('E Balans VL '!L14+'E Balans VL '!N14)/100/3.6*1000000</f>
        <v>824.52087238820457</v>
      </c>
      <c r="G10" s="34"/>
      <c r="H10" s="33"/>
      <c r="I10" s="33"/>
      <c r="J10" s="33">
        <f>$C$30*('E Balans VL '!D14+'E Balans VL '!E14)/100/3.6*1000000</f>
        <v>0</v>
      </c>
      <c r="K10" s="33"/>
      <c r="L10" s="33"/>
      <c r="M10" s="33"/>
      <c r="N10" s="33">
        <f>$C$30*'E Balans VL '!Y14/100/3.6*1000000</f>
        <v>2943.2645405380295</v>
      </c>
      <c r="O10" s="33"/>
      <c r="P10" s="33"/>
      <c r="R10" s="32"/>
    </row>
    <row r="11" spans="1:18">
      <c r="A11" s="32" t="s">
        <v>54</v>
      </c>
      <c r="B11" s="37">
        <f t="shared" si="0"/>
        <v>476.24217374</v>
      </c>
      <c r="C11" s="33"/>
      <c r="D11" s="37">
        <f>IF(ISERROR(TER_onderwijs_gas_kWh/1000),0,TER_onderwijs_gas_kWh/1000)*0.902</f>
        <v>1972.8255001905998</v>
      </c>
      <c r="E11" s="33">
        <f>$C$31*'E Balans VL '!I11/100/3.6*1000000</f>
        <v>0.83870237691234839</v>
      </c>
      <c r="F11" s="33">
        <f>$C$31*('E Balans VL '!L11+'E Balans VL '!N11)/100/3.6*1000000</f>
        <v>219.88962920363892</v>
      </c>
      <c r="G11" s="34"/>
      <c r="H11" s="33"/>
      <c r="I11" s="33"/>
      <c r="J11" s="33">
        <f>$C$31*('E Balans VL '!D11+'E Balans VL '!E11)/100/3.6*1000000</f>
        <v>0</v>
      </c>
      <c r="K11" s="33"/>
      <c r="L11" s="33"/>
      <c r="M11" s="33"/>
      <c r="N11" s="33">
        <f>$C$31*'E Balans VL '!Y11/100/3.6*1000000</f>
        <v>0.8872457555252532</v>
      </c>
      <c r="O11" s="33"/>
      <c r="P11" s="33"/>
      <c r="R11" s="32"/>
    </row>
    <row r="12" spans="1:18">
      <c r="A12" s="32" t="s">
        <v>255</v>
      </c>
      <c r="B12" s="37">
        <f t="shared" si="0"/>
        <v>5772.8067846999993</v>
      </c>
      <c r="C12" s="33"/>
      <c r="D12" s="37">
        <f>IF(ISERROR(TER_rest_gas_kWh/1000),0,TER_rest_gas_kWh/1000)*0.902</f>
        <v>10907.168131574001</v>
      </c>
      <c r="E12" s="33">
        <f>$C$32*'E Balans VL '!I8/100/3.6*1000000</f>
        <v>101.63898966512726</v>
      </c>
      <c r="F12" s="33">
        <f>$C$32*('E Balans VL '!L8+'E Balans VL '!N8)/100/3.6*1000000</f>
        <v>1487.2558569146761</v>
      </c>
      <c r="G12" s="34"/>
      <c r="H12" s="33"/>
      <c r="I12" s="33"/>
      <c r="J12" s="33">
        <f>$C$32*('E Balans VL '!D8+'E Balans VL '!E8)/100/3.6*1000000</f>
        <v>0</v>
      </c>
      <c r="K12" s="33"/>
      <c r="L12" s="33"/>
      <c r="M12" s="33"/>
      <c r="N12" s="33">
        <f>$C$32*'E Balans VL '!Y8/100/3.6*1000000</f>
        <v>509.40377024996741</v>
      </c>
      <c r="O12" s="33"/>
      <c r="P12" s="33"/>
      <c r="R12" s="32"/>
    </row>
    <row r="13" spans="1:18">
      <c r="A13" s="16" t="s">
        <v>484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57017.262922040005</v>
      </c>
      <c r="C16" s="21">
        <f t="shared" ca="1" si="1"/>
        <v>0</v>
      </c>
      <c r="D16" s="21">
        <f t="shared" ca="1" si="1"/>
        <v>43604.751093565203</v>
      </c>
      <c r="E16" s="21">
        <f t="shared" si="1"/>
        <v>1153.0982584955634</v>
      </c>
      <c r="F16" s="21">
        <f t="shared" ca="1" si="1"/>
        <v>13581.329906541787</v>
      </c>
      <c r="G16" s="21">
        <f t="shared" si="1"/>
        <v>0</v>
      </c>
      <c r="H16" s="21">
        <f t="shared" si="1"/>
        <v>0</v>
      </c>
      <c r="I16" s="21">
        <f t="shared" si="1"/>
        <v>0</v>
      </c>
      <c r="J16" s="21">
        <f t="shared" si="1"/>
        <v>0</v>
      </c>
      <c r="K16" s="21">
        <f t="shared" si="1"/>
        <v>0</v>
      </c>
      <c r="L16" s="21">
        <f t="shared" ca="1" si="1"/>
        <v>0</v>
      </c>
      <c r="M16" s="21">
        <f t="shared" si="1"/>
        <v>0</v>
      </c>
      <c r="N16" s="21">
        <f t="shared" ca="1" si="1"/>
        <v>3516.911110015441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0.18266434235717946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10415.020834660831</v>
      </c>
      <c r="C20" s="23">
        <f t="shared" ref="C20:P20" ca="1" si="2">C16*C18</f>
        <v>0</v>
      </c>
      <c r="D20" s="23">
        <f t="shared" ca="1" si="2"/>
        <v>8808.159720900172</v>
      </c>
      <c r="E20" s="23">
        <f t="shared" si="2"/>
        <v>261.7533046784929</v>
      </c>
      <c r="F20" s="23">
        <f t="shared" ca="1" si="2"/>
        <v>3626.2150850466574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21776.462335</v>
      </c>
      <c r="C26" s="39">
        <f>IF(ISERROR(B26*3.6/1000000/'E Balans VL '!Z12*100),0,B26*3.6/1000000/'E Balans VL '!Z12*100)</f>
        <v>0.46646874069052957</v>
      </c>
      <c r="D26" s="233" t="s">
        <v>652</v>
      </c>
      <c r="F26" s="6"/>
    </row>
    <row r="27" spans="1:18">
      <c r="A27" s="228" t="s">
        <v>52</v>
      </c>
      <c r="B27" s="33">
        <f>IF(ISERROR(TER_horeca_ele_kWh/1000),0,TER_horeca_ele_kWh/1000)</f>
        <v>2256.4455921999997</v>
      </c>
      <c r="C27" s="39">
        <f>IF(ISERROR(B27*3.6/1000000/'E Balans VL '!Z9*100),0,B27*3.6/1000000/'E Balans VL '!Z9*100)</f>
        <v>0.1810719154492296</v>
      </c>
      <c r="D27" s="233" t="s">
        <v>652</v>
      </c>
      <c r="F27" s="6"/>
    </row>
    <row r="28" spans="1:18">
      <c r="A28" s="168" t="s">
        <v>51</v>
      </c>
      <c r="B28" s="33">
        <f>IF(ISERROR(TER_handel_ele_kWh/1000),0,TER_handel_ele_kWh/1000)</f>
        <v>21706.277440000002</v>
      </c>
      <c r="C28" s="39">
        <f>IF(ISERROR(B28*3.6/1000000/'E Balans VL '!Z13*100),0,B28*3.6/1000000/'E Balans VL '!Z13*100)</f>
        <v>0.64021068223859512</v>
      </c>
      <c r="D28" s="233" t="s">
        <v>652</v>
      </c>
      <c r="F28" s="6"/>
    </row>
    <row r="29" spans="1:18">
      <c r="A29" s="228" t="s">
        <v>50</v>
      </c>
      <c r="B29" s="33">
        <f>IF(ISERROR(TER_gezond_ele_kWh/1000),0,TER_gezond_ele_kWh/1000)</f>
        <v>1294.2402731000002</v>
      </c>
      <c r="C29" s="39">
        <f>IF(ISERROR(B29*3.6/1000000/'E Balans VL '!Z10*100),0,B29*3.6/1000000/'E Balans VL '!Z10*100)</f>
        <v>0.13819016128412334</v>
      </c>
      <c r="D29" s="233" t="s">
        <v>652</v>
      </c>
      <c r="F29" s="6"/>
    </row>
    <row r="30" spans="1:18">
      <c r="A30" s="228" t="s">
        <v>49</v>
      </c>
      <c r="B30" s="33">
        <f>IF(ISERROR(TER_ander_ele_kWh/1000),0,TER_ander_ele_kWh/1000)</f>
        <v>3734.7883232999998</v>
      </c>
      <c r="C30" s="39">
        <f>IF(ISERROR(B30*3.6/1000000/'E Balans VL '!Z14*100),0,B30*3.6/1000000/'E Balans VL '!Z14*100)</f>
        <v>0.28210322798102005</v>
      </c>
      <c r="D30" s="233" t="s">
        <v>652</v>
      </c>
      <c r="F30" s="6"/>
    </row>
    <row r="31" spans="1:18">
      <c r="A31" s="228" t="s">
        <v>54</v>
      </c>
      <c r="B31" s="33">
        <f>IF(ISERROR(TER_onderwijs_ele_kWh/1000),0,TER_onderwijs_ele_kWh/1000)</f>
        <v>476.24217374</v>
      </c>
      <c r="C31" s="39">
        <f>IF(ISERROR(B31*3.6/1000000/'E Balans VL '!Z11*100),0,B31*3.6/1000000/'E Balans VL '!Z11*100)</f>
        <v>9.6169193070067716E-2</v>
      </c>
      <c r="D31" s="233" t="s">
        <v>652</v>
      </c>
    </row>
    <row r="32" spans="1:18">
      <c r="A32" s="228" t="s">
        <v>255</v>
      </c>
      <c r="B32" s="33">
        <f>IF(ISERROR(TER_rest_ele_kWh/1000),0,TER_rest_ele_kWh/1000)</f>
        <v>5772.8067846999993</v>
      </c>
      <c r="C32" s="39">
        <f>IF(ISERROR(B32*3.6/1000000/'E Balans VL '!Z8*100),0,B32*3.6/1000000/'E Balans VL '!Z8*100)</f>
        <v>4.7864606820619437E-2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1</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2</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39301.344848349996</v>
      </c>
      <c r="C5" s="17">
        <f>IF(ISERROR('Eigen informatie GS &amp; warmtenet'!B59),0,'Eigen informatie GS &amp; warmtenet'!B59)</f>
        <v>0</v>
      </c>
      <c r="D5" s="30">
        <f>SUM(D6:D15)</f>
        <v>184093.44472335232</v>
      </c>
      <c r="E5" s="17">
        <f>SUM(E6:E15)</f>
        <v>2642.830293307818</v>
      </c>
      <c r="F5" s="17">
        <f>SUM(F6:F15)</f>
        <v>10451.747327251616</v>
      </c>
      <c r="G5" s="18"/>
      <c r="H5" s="17"/>
      <c r="I5" s="17"/>
      <c r="J5" s="17">
        <f>SUM(J6:J15)</f>
        <v>288.30795153614639</v>
      </c>
      <c r="K5" s="17"/>
      <c r="L5" s="17"/>
      <c r="M5" s="17"/>
      <c r="N5" s="17">
        <f>SUM(N6:N15)</f>
        <v>2459.9358196143839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703.98702745000003</v>
      </c>
      <c r="C8" s="33"/>
      <c r="D8" s="37">
        <f>IF( ISERROR(IND_metaal_Gas_kWH/1000),0,IND_metaal_Gas_kWH/1000)*0.902</f>
        <v>7297.0309456726</v>
      </c>
      <c r="E8" s="33">
        <f>C30*'E Balans VL '!I18/100/3.6*1000000</f>
        <v>25.331582952777495</v>
      </c>
      <c r="F8" s="33">
        <f>C30*'E Balans VL '!L18/100/3.6*1000000+C30*'E Balans VL '!N18/100/3.6*1000000</f>
        <v>307.40831408327239</v>
      </c>
      <c r="G8" s="34"/>
      <c r="H8" s="33"/>
      <c r="I8" s="33"/>
      <c r="J8" s="40">
        <f>C30*'E Balans VL '!D18/100/3.6*1000000+C30*'E Balans VL '!E18/100/3.6*1000000</f>
        <v>0</v>
      </c>
      <c r="K8" s="33"/>
      <c r="L8" s="33"/>
      <c r="M8" s="33"/>
      <c r="N8" s="33">
        <f>C30*'E Balans VL '!Y18/100/3.6*1000000</f>
        <v>35.283351405916726</v>
      </c>
      <c r="O8" s="33"/>
      <c r="P8" s="33"/>
      <c r="R8" s="32"/>
    </row>
    <row r="9" spans="1:18">
      <c r="A9" s="6" t="s">
        <v>32</v>
      </c>
      <c r="B9" s="37">
        <f t="shared" si="0"/>
        <v>2696.5675247999998</v>
      </c>
      <c r="C9" s="33"/>
      <c r="D9" s="37">
        <f>IF( ISERROR(IND_andere_gas_kWh/1000),0,IND_andere_gas_kWh/1000)*0.902</f>
        <v>2229.7546408037997</v>
      </c>
      <c r="E9" s="33">
        <f>C31*'E Balans VL '!I19/100/3.6*1000000</f>
        <v>688.10302077984136</v>
      </c>
      <c r="F9" s="33">
        <f>C31*'E Balans VL '!L19/100/3.6*1000000+C31*'E Balans VL '!N19/100/3.6*1000000</f>
        <v>2321.5419569580408</v>
      </c>
      <c r="G9" s="34"/>
      <c r="H9" s="33"/>
      <c r="I9" s="33"/>
      <c r="J9" s="40">
        <f>C31*'E Balans VL '!D19/100/3.6*1000000+C31*'E Balans VL '!E19/100/3.6*1000000</f>
        <v>0</v>
      </c>
      <c r="K9" s="33"/>
      <c r="L9" s="33"/>
      <c r="M9" s="33"/>
      <c r="N9" s="33">
        <f>C31*'E Balans VL '!Y19/100/3.6*1000000</f>
        <v>212.72762323856054</v>
      </c>
      <c r="O9" s="33"/>
      <c r="P9" s="33"/>
      <c r="R9" s="32"/>
    </row>
    <row r="10" spans="1:18">
      <c r="A10" s="6" t="s">
        <v>40</v>
      </c>
      <c r="B10" s="37">
        <f t="shared" si="0"/>
        <v>598.08963440000002</v>
      </c>
      <c r="C10" s="33"/>
      <c r="D10" s="37">
        <f>IF( ISERROR(IND_voed_gas_kWh/1000),0,IND_voed_gas_kWh/1000)*0.902</f>
        <v>701.18763759594003</v>
      </c>
      <c r="E10" s="33">
        <f>C32*'E Balans VL '!I20/100/3.6*1000000</f>
        <v>15.204259750815623</v>
      </c>
      <c r="F10" s="33">
        <f>C32*'E Balans VL '!L20/100/3.6*1000000+C32*'E Balans VL '!N20/100/3.6*1000000</f>
        <v>135.33870616503586</v>
      </c>
      <c r="G10" s="34"/>
      <c r="H10" s="33"/>
      <c r="I10" s="33"/>
      <c r="J10" s="40">
        <f>C32*'E Balans VL '!D20/100/3.6*1000000+C32*'E Balans VL '!E20/100/3.6*1000000</f>
        <v>0</v>
      </c>
      <c r="K10" s="33"/>
      <c r="L10" s="33"/>
      <c r="M10" s="33"/>
      <c r="N10" s="33">
        <f>C32*'E Balans VL '!Y20/100/3.6*1000000</f>
        <v>224.29982475721215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35.774490700000001</v>
      </c>
      <c r="C13" s="33"/>
      <c r="D13" s="37">
        <f>IF( ISERROR(IND_papier_gas_kWh/1000),0,IND_papier_gas_kWh/1000)*0.902</f>
        <v>0</v>
      </c>
      <c r="E13" s="33">
        <f>C35*'E Balans VL '!I23/100/3.6*1000000</f>
        <v>0.15342638317675714</v>
      </c>
      <c r="F13" s="33">
        <f>C35*'E Balans VL '!L23/100/3.6*1000000+C35*'E Balans VL '!N23/100/3.6*1000000</f>
        <v>0.89912398824151574</v>
      </c>
      <c r="G13" s="34"/>
      <c r="H13" s="33"/>
      <c r="I13" s="33"/>
      <c r="J13" s="40">
        <f>C35*'E Balans VL '!D23/100/3.6*1000000+C35*'E Balans VL '!E23/100/3.6*1000000</f>
        <v>2.3949059373550035</v>
      </c>
      <c r="K13" s="33"/>
      <c r="L13" s="33"/>
      <c r="M13" s="33"/>
      <c r="N13" s="33">
        <f>C35*'E Balans VL '!Y23/100/3.6*1000000</f>
        <v>8.7240979094510376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35266.926170999999</v>
      </c>
      <c r="C15" s="33"/>
      <c r="D15" s="37">
        <f>IF( ISERROR(IND_rest_gas_kWh/1000),0,IND_rest_gas_kWh/1000)*0.902</f>
        <v>173865.47149927999</v>
      </c>
      <c r="E15" s="33">
        <f>C37*'E Balans VL '!I15/100/3.6*1000000</f>
        <v>1914.0380034412069</v>
      </c>
      <c r="F15" s="33">
        <f>C37*'E Balans VL '!L15/100/3.6*1000000+C37*'E Balans VL '!N15/100/3.6*1000000</f>
        <v>7686.5592260570256</v>
      </c>
      <c r="G15" s="34"/>
      <c r="H15" s="33"/>
      <c r="I15" s="33"/>
      <c r="J15" s="40">
        <f>C37*'E Balans VL '!D15/100/3.6*1000000+C37*'E Balans VL '!E15/100/3.6*1000000</f>
        <v>285.91304559879137</v>
      </c>
      <c r="K15" s="33"/>
      <c r="L15" s="33"/>
      <c r="M15" s="33"/>
      <c r="N15" s="33">
        <f>C37*'E Balans VL '!Y15/100/3.6*1000000</f>
        <v>1978.9009223032433</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39301.344848349996</v>
      </c>
      <c r="C18" s="21">
        <f>C5+C16</f>
        <v>0</v>
      </c>
      <c r="D18" s="21">
        <f>MAX((D5+D16),0)</f>
        <v>184093.44472335232</v>
      </c>
      <c r="E18" s="21">
        <f>MAX((E5+E16),0)</f>
        <v>2642.830293307818</v>
      </c>
      <c r="F18" s="21">
        <f>MAX((F5+F16),0)</f>
        <v>10451.747327251616</v>
      </c>
      <c r="G18" s="21"/>
      <c r="H18" s="21"/>
      <c r="I18" s="21"/>
      <c r="J18" s="21">
        <f>MAX((J5+J16),0)</f>
        <v>288.30795153614639</v>
      </c>
      <c r="K18" s="21"/>
      <c r="L18" s="21">
        <f>MAX((L5+L16),0)</f>
        <v>0</v>
      </c>
      <c r="M18" s="21"/>
      <c r="N18" s="21">
        <f>MAX((N5+N16),0)</f>
        <v>2459.9358196143839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0.18266434235717946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7178.9543104765753</v>
      </c>
      <c r="C22" s="23">
        <f ca="1">C18*C20</f>
        <v>0</v>
      </c>
      <c r="D22" s="23">
        <f>D18*D20</f>
        <v>37186.875834117171</v>
      </c>
      <c r="E22" s="23">
        <f>E18*E20</f>
        <v>599.92247658087467</v>
      </c>
      <c r="F22" s="23">
        <f>F18*F20</f>
        <v>2790.6165363761816</v>
      </c>
      <c r="G22" s="23"/>
      <c r="H22" s="23"/>
      <c r="I22" s="23"/>
      <c r="J22" s="23">
        <f>J18*J20</f>
        <v>102.06101484379582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703.98702745000003</v>
      </c>
      <c r="C30" s="39">
        <f>IF(ISERROR(B30*3.6/1000000/'E Balans VL '!Z18*100),0,B30*3.6/1000000/'E Balans VL '!Z18*100)</f>
        <v>0.14915975803257286</v>
      </c>
      <c r="D30" s="233" t="s">
        <v>652</v>
      </c>
    </row>
    <row r="31" spans="1:18">
      <c r="A31" s="6" t="s">
        <v>32</v>
      </c>
      <c r="B31" s="37">
        <f>IF( ISERROR(IND_ander_ele_kWh/1000),0,IND_ander_ele_kWh/1000)</f>
        <v>2696.5675247999998</v>
      </c>
      <c r="C31" s="39">
        <f>IF(ISERROR(B31*3.6/1000000/'E Balans VL '!Z19*100),0,B31*3.6/1000000/'E Balans VL '!Z19*100)</f>
        <v>0.11350465012069798</v>
      </c>
      <c r="D31" s="233" t="s">
        <v>652</v>
      </c>
    </row>
    <row r="32" spans="1:18">
      <c r="A32" s="168" t="s">
        <v>40</v>
      </c>
      <c r="B32" s="37">
        <f>IF( ISERROR(IND_voed_ele_kWh/1000),0,IND_voed_ele_kWh/1000)</f>
        <v>598.08963440000002</v>
      </c>
      <c r="C32" s="39">
        <f>IF(ISERROR(B32*3.6/1000000/'E Balans VL '!Z20*100),0,B32*3.6/1000000/'E Balans VL '!Z20*100)</f>
        <v>9.9917640345327088E-2</v>
      </c>
      <c r="D32" s="233" t="s">
        <v>652</v>
      </c>
    </row>
    <row r="33" spans="1:5">
      <c r="A33" s="168" t="s">
        <v>39</v>
      </c>
      <c r="B33" s="37">
        <f>IF( ISERROR(IND_textiel_ele_kWh/1000),0,IND_textiel_ele_kWh/1000)</f>
        <v>0</v>
      </c>
      <c r="C33" s="39">
        <f>IF(ISERROR(B33*3.6/1000000/'E Balans VL '!Z21*100),0,B33*3.6/1000000/'E Balans VL '!Z21*100)</f>
        <v>0</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35.774490700000001</v>
      </c>
      <c r="C35" s="39">
        <f>IF(ISERROR(B35*3.6/1000000/'E Balans VL '!Z22*100),0,B35*3.6/1000000/'E Balans VL '!Z22*100)</f>
        <v>4.5346096274835298E-3</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35266.926170999999</v>
      </c>
      <c r="C37" s="39">
        <f>IF(ISERROR(B37*3.6/1000000/'E Balans VL '!Z15*100),0,B37*3.6/1000000/'E Balans VL '!Z15*100)</f>
        <v>0.28472355095820112</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307.219462927</v>
      </c>
      <c r="C5" s="17">
        <f>'Eigen informatie GS &amp; warmtenet'!B60</f>
        <v>0</v>
      </c>
      <c r="D5" s="30">
        <f>IF(ISERROR(SUM(LB_lb_gas_kWh,LB_rest_gas_kWh)/1000),0,SUM(LB_lb_gas_kWh,LB_rest_gas_kWh)/1000)*0.902</f>
        <v>100.60613256165999</v>
      </c>
      <c r="E5" s="17">
        <f>B17*'E Balans VL '!I25/3.6*1000000/100</f>
        <v>7.9220103625272813</v>
      </c>
      <c r="F5" s="17">
        <f>B17*('E Balans VL '!L25/3.6*1000000+'E Balans VL '!N25/3.6*1000000)/100</f>
        <v>1122.9456441027914</v>
      </c>
      <c r="G5" s="18"/>
      <c r="H5" s="17"/>
      <c r="I5" s="17"/>
      <c r="J5" s="17">
        <f>('E Balans VL '!D25+'E Balans VL '!E25)/3.6*1000000*landbouw!B17/100</f>
        <v>44.22830108445882</v>
      </c>
      <c r="K5" s="17"/>
      <c r="L5" s="17">
        <f>L6*(-1)</f>
        <v>0</v>
      </c>
      <c r="M5" s="17"/>
      <c r="N5" s="17">
        <f>N6*(-1)</f>
        <v>0</v>
      </c>
      <c r="O5" s="17"/>
      <c r="P5" s="17"/>
      <c r="R5" s="32"/>
    </row>
    <row r="6" spans="1:18">
      <c r="A6" s="16" t="s">
        <v>484</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307.219462927</v>
      </c>
      <c r="C8" s="21">
        <f>C5+C6</f>
        <v>0</v>
      </c>
      <c r="D8" s="21">
        <f>MAX((D5+D6),0)</f>
        <v>100.60613256165999</v>
      </c>
      <c r="E8" s="21">
        <f>MAX((E5+E6),0)</f>
        <v>7.9220103625272813</v>
      </c>
      <c r="F8" s="21">
        <f>MAX((F5+F6),0)</f>
        <v>1122.9456441027914</v>
      </c>
      <c r="G8" s="21"/>
      <c r="H8" s="21"/>
      <c r="I8" s="21"/>
      <c r="J8" s="21">
        <f>MAX((J5+J6),0)</f>
        <v>44.22830108445882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0.18266434235717946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56.118041154886328</v>
      </c>
      <c r="C12" s="23">
        <f ca="1">C8*C10</f>
        <v>0</v>
      </c>
      <c r="D12" s="23">
        <f>D8*D10</f>
        <v>20.322438777455318</v>
      </c>
      <c r="E12" s="23">
        <f>E8*E10</f>
        <v>1.798296352293693</v>
      </c>
      <c r="F12" s="23">
        <f>F8*F10</f>
        <v>299.82648697544533</v>
      </c>
      <c r="G12" s="23"/>
      <c r="H12" s="23"/>
      <c r="I12" s="23"/>
      <c r="J12" s="23">
        <f>J8*J10</f>
        <v>15.656818583898422</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4.331997924879942E-2</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71.290636865123616</v>
      </c>
      <c r="C26" s="243">
        <f>B26*'GWP N2O_CH4'!B5</f>
        <v>1497.103374167596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10.144077401552037</v>
      </c>
      <c r="C27" s="243">
        <f>B27*'GWP N2O_CH4'!B5</f>
        <v>213.02562543259279</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1.0678937873511067</v>
      </c>
      <c r="C28" s="243">
        <f>B28*'GWP N2O_CH4'!B4</f>
        <v>331.04707407884308</v>
      </c>
      <c r="D28" s="50"/>
    </row>
    <row r="29" spans="1:4">
      <c r="A29" s="41" t="s">
        <v>272</v>
      </c>
      <c r="B29" s="243">
        <f>B34*'ha_N2O bodem landbouw'!B4</f>
        <v>4.3389658918630314</v>
      </c>
      <c r="C29" s="243">
        <f>B29*'GWP N2O_CH4'!B4</f>
        <v>1345.0794264775398</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9.7650311193462572E-4</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2.4505004140902331E-4</v>
      </c>
      <c r="C5" s="431" t="s">
        <v>210</v>
      </c>
      <c r="D5" s="416">
        <f>SUM(D6:D11)</f>
        <v>3.8637472640298815E-4</v>
      </c>
      <c r="E5" s="416">
        <f>SUM(E6:E11)</f>
        <v>1.8395190740081032E-3</v>
      </c>
      <c r="F5" s="429" t="s">
        <v>210</v>
      </c>
      <c r="G5" s="416">
        <f>SUM(G6:G11)</f>
        <v>0.90537264305169274</v>
      </c>
      <c r="H5" s="416">
        <f>SUM(H6:H11)</f>
        <v>0.12607620861049576</v>
      </c>
      <c r="I5" s="431" t="s">
        <v>210</v>
      </c>
      <c r="J5" s="431" t="s">
        <v>210</v>
      </c>
      <c r="K5" s="431" t="s">
        <v>210</v>
      </c>
      <c r="L5" s="431" t="s">
        <v>210</v>
      </c>
      <c r="M5" s="416">
        <f>SUM(M6:M11)</f>
        <v>3.2261364612067037E-2</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1.2663199068164399E-4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1.9890969283700225E-4</v>
      </c>
      <c r="E6" s="859">
        <f>vkm_GW_PW*SUMIFS(TableVerdeelsleutelVkm[LPG],TableVerdeelsleutelVkm[Voertuigtype],"Lichte voertuigen")*SUMIFS(TableECFTransport[EnergieConsumptieFactor (PJ per km)],TableECFTransport[Index],CONCATENATE($A6,"_LPG_LPG"))</f>
        <v>9.1717820128028979E-4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0.24329749610034473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6.4811628466455676E-2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9.5965677713734879E-3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8.1159172542196371E-6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0.27974761507505458</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4.9392665670269482E-6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8.8008723931814019E-3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4.8668680799756795E-5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1.0846952161538543E-4</v>
      </c>
      <c r="E8" s="419">
        <f>vkm_NGW_PW*SUMIFS(TableVerdeelsleutelVkm[LPG],TableVerdeelsleutelVkm[Voertuigtype],"Lichte voertuigen")*SUMIFS(TableECFTransport[EnergieConsumptieFactor (PJ per km)],TableECFTransport[Index],CONCATENATE($A8,"_LPG_LPG"))</f>
        <v>4.7858390293653992E-4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0.11786225583480153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3.4378256732512276E-2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4.7382810990631236E-3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1.7117210018677026E-6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7.586174685042299E-2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1.25740238613199E-6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2.3866114663077791E-3</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5.7466692866338178E-5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7.8995511950600441E-5</v>
      </c>
      <c r="E10" s="419">
        <f>vkm_SW_PW*SUMIFS(TableVerdeelsleutelVkm[LPG],TableVerdeelsleutelVkm[Voertuigtype],"Lichte voertuigen")*SUMIFS(TableECFTransport[EnergieConsumptieFactor (PJ per km)],TableECFTransport[Index],CONCATENATE($A10,"_LPG_LPG"))</f>
        <v>4.437569697912735E-4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0.10797012577500095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2.6878588893714254E-2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4.2022980079152172E-3</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2.4550388051970032E-6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8.0633403416067936E-2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1.5378488603931265E-6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2.5367338742260238E-3</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68.069455946950924</v>
      </c>
      <c r="C14" s="21"/>
      <c r="D14" s="21">
        <f t="shared" ref="D14:M14" si="0">((D5)*10^9/3600)+D12</f>
        <v>107.32631288971892</v>
      </c>
      <c r="E14" s="21">
        <f t="shared" si="0"/>
        <v>510.97752055780643</v>
      </c>
      <c r="F14" s="21"/>
      <c r="G14" s="21">
        <f t="shared" si="0"/>
        <v>251492.40084769242</v>
      </c>
      <c r="H14" s="21">
        <f t="shared" si="0"/>
        <v>35021.169058471045</v>
      </c>
      <c r="I14" s="21"/>
      <c r="J14" s="21"/>
      <c r="K14" s="21"/>
      <c r="L14" s="21"/>
      <c r="M14" s="21">
        <f t="shared" si="0"/>
        <v>8961.4901700186219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0.18266434235717946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12.43386240516079</v>
      </c>
      <c r="C18" s="23"/>
      <c r="D18" s="23">
        <f t="shared" ref="D18:M18" si="1">D14*D16</f>
        <v>21.679915203723223</v>
      </c>
      <c r="E18" s="23">
        <f t="shared" si="1"/>
        <v>115.99189716662207</v>
      </c>
      <c r="F18" s="23"/>
      <c r="G18" s="23">
        <f t="shared" si="1"/>
        <v>67148.471026333878</v>
      </c>
      <c r="H18" s="23">
        <f t="shared" si="1"/>
        <v>8720.2710955592902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4.1955713226800605E-5</v>
      </c>
      <c r="C50" s="313">
        <f t="shared" ref="C50:P50" si="2">SUM(C51:C52)</f>
        <v>0</v>
      </c>
      <c r="D50" s="313">
        <f t="shared" si="2"/>
        <v>0</v>
      </c>
      <c r="E50" s="313">
        <f t="shared" si="2"/>
        <v>0</v>
      </c>
      <c r="F50" s="313">
        <f t="shared" si="2"/>
        <v>0</v>
      </c>
      <c r="G50" s="313">
        <f t="shared" si="2"/>
        <v>7.4807923615325617E-3</v>
      </c>
      <c r="H50" s="313">
        <f t="shared" si="2"/>
        <v>0</v>
      </c>
      <c r="I50" s="313">
        <f t="shared" si="2"/>
        <v>0</v>
      </c>
      <c r="J50" s="313">
        <f t="shared" si="2"/>
        <v>0</v>
      </c>
      <c r="K50" s="313">
        <f t="shared" si="2"/>
        <v>0</v>
      </c>
      <c r="L50" s="313">
        <f t="shared" si="2"/>
        <v>0</v>
      </c>
      <c r="M50" s="313">
        <f t="shared" si="2"/>
        <v>2.3352135212971492E-4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4.1955713226800605E-5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7.4807923615325617E-3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2.3352135212971492E-4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11.65436478522239</v>
      </c>
      <c r="C54" s="21">
        <f t="shared" ref="C54:P54" si="3">(C50)*10^9/3600</f>
        <v>0</v>
      </c>
      <c r="D54" s="21">
        <f t="shared" si="3"/>
        <v>0</v>
      </c>
      <c r="E54" s="21">
        <f t="shared" si="3"/>
        <v>0</v>
      </c>
      <c r="F54" s="21">
        <f t="shared" si="3"/>
        <v>0</v>
      </c>
      <c r="G54" s="21">
        <f t="shared" si="3"/>
        <v>2077.9978782034891</v>
      </c>
      <c r="H54" s="21">
        <f t="shared" si="3"/>
        <v>0</v>
      </c>
      <c r="I54" s="21">
        <f t="shared" si="3"/>
        <v>0</v>
      </c>
      <c r="J54" s="21">
        <f t="shared" si="3"/>
        <v>0</v>
      </c>
      <c r="K54" s="21">
        <f t="shared" si="3"/>
        <v>0</v>
      </c>
      <c r="L54" s="21">
        <f t="shared" si="3"/>
        <v>0</v>
      </c>
      <c r="M54" s="21">
        <f t="shared" si="3"/>
        <v>64.867042258254145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0.18266434235717946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2.1288368790833188</v>
      </c>
      <c r="C58" s="23">
        <f t="shared" ref="C58:P58" ca="1" si="4">C54*C56</f>
        <v>0</v>
      </c>
      <c r="D58" s="23">
        <f t="shared" si="4"/>
        <v>0</v>
      </c>
      <c r="E58" s="23">
        <f t="shared" si="4"/>
        <v>0</v>
      </c>
      <c r="F58" s="23">
        <f t="shared" si="4"/>
        <v>0</v>
      </c>
      <c r="G58" s="23">
        <f t="shared" si="4"/>
        <v>554.82543348033164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7055.4051800892894</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16423.686030884019</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0</v>
      </c>
      <c r="C8" s="538">
        <f>B48</f>
        <v>0</v>
      </c>
      <c r="D8" s="1003"/>
      <c r="E8" s="1003">
        <f>E48</f>
        <v>0</v>
      </c>
      <c r="F8" s="1004"/>
      <c r="G8" s="539"/>
      <c r="H8" s="1003">
        <f>I48</f>
        <v>0</v>
      </c>
      <c r="I8" s="1003">
        <f>G48+F48</f>
        <v>0</v>
      </c>
      <c r="J8" s="1003">
        <f>H48+D48+C48</f>
        <v>0</v>
      </c>
      <c r="K8" s="1003"/>
      <c r="L8" s="1003"/>
      <c r="M8" s="1003"/>
      <c r="N8" s="540"/>
      <c r="O8" s="541">
        <f>C8*$C$12+D8*$D$12+E8*$E$12+F8*$F$12+G8*$G$12+H8*$H$12+I8*$I$12+J8*$J$12</f>
        <v>0</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23479.091210973307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0</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0</v>
      </c>
      <c r="C17" s="563">
        <f>B49</f>
        <v>0</v>
      </c>
      <c r="D17" s="564"/>
      <c r="E17" s="564">
        <f>E49</f>
        <v>0</v>
      </c>
      <c r="F17" s="1009"/>
      <c r="G17" s="565"/>
      <c r="H17" s="563">
        <f>I49</f>
        <v>0</v>
      </c>
      <c r="I17" s="564">
        <f>G49+F49</f>
        <v>0</v>
      </c>
      <c r="J17" s="564">
        <f>H49+D49+C49</f>
        <v>0</v>
      </c>
      <c r="K17" s="564"/>
      <c r="L17" s="564"/>
      <c r="M17" s="564"/>
      <c r="N17" s="1010"/>
      <c r="O17" s="566">
        <f>C17*$C$22+E17*$E$22+H17*$H$22+I17*$I$22+J17*$J$22+D17*$D$22+F17*$F$22+G17*$G$22+K17*$K$22+L17*$L$22</f>
        <v>0</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275</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2021-06-29T15:50:10Z</dcterms:modified>
</cp:coreProperties>
</file>