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I9" i="18"/>
  <c r="F13" i="15"/>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P4" i="48" s="1"/>
  <c r="P22" i="48" s="1"/>
  <c r="B37" i="13"/>
  <c r="J15" i="16"/>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Q11" i="14"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<sst xmlns="http://schemas.openxmlformats.org/spreadsheetml/2006/main" count="2513" uniqueCount="928">
  <si>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</si>
  <si>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</si>
  <si>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</si>
  <si>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</si>
  <si>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</si>
  <si>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</si>
  <si>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</si>
  <si>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</si>
  <si>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</si>
  <si>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</si>
  <si>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</si>
  <si>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</si>
  <si>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</si>
  <si>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</si>
  <si>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</si>
  <si>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</si>
  <si>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</si>
  <si>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</si>
  <si>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</si>
  <si>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</si>
  <si>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</si>
  <si>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</si>
  <si>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</si>
  <si>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</si>
  <si>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</si>
  <si>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</si>
  <si>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</si>
  <si>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</si>
  <si>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</si>
  <si>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</si>
  <si>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</si>
  <si>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</si>
  <si>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</si>
  <si>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</si>
  <si>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</si>
  <si>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</si>
  <si>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</si>
  <si>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</si>
  <si>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</si>
  <si>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</si>
  <si>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</si>
  <si>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</si>
  <si>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</si>
  <si>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</si>
  <si>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</si>
  <si>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</si>
  <si>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</si>
  <si>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</si>
  <si>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</si>
  <si>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</si>
  <si>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</si>
  <si>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</si>
  <si>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</si>
  <si>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</si>
  <si>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</si>
  <si>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</si>
  <si>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</si>
  <si>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</si>
  <si>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</si>
  <si>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</si>
  <si>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</si>
  <si>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</si>
  <si>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</si>
  <si>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</si>
  <si>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</si>
  <si>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</si>
  <si>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</si>
  <si>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</si>
  <si>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</si>
  <si>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</si>
  <si>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</si>
  <si>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</si>
  <si>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</si>
  <si>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</si>
  <si>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</si>
  <si>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</si>
  <si>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</si>
  <si>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</si>
  <si>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</si>
  <si>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</si>
  <si>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</si>
  <si>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</si>
  <si>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</si>
  <si>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</si>
  <si>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</si>
  <si>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</si>
  <si>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</si>
  <si>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</si>
  <si>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</si>
  <si>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</si>
  <si>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</si>
  <si>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</si>
  <si>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</si>
  <si>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</si>
  <si>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</si>
  <si>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</si>
  <si>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</si>
  <si>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</si>
  <si>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</si>
  <si>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</si>
  <si>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</si>
  <si>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</si>
  <si>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</si>
  <si>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</si>
  <si>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</si>
  <si>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</si>
  <si>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</si>
  <si>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</si>
  <si>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</si>
  <si>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</si>
  <si>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</si>
  <si>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</si>
  <si>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</si>
  <si>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</si>
  <si>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</si>
  <si>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</si>
  <si>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</si>
  <si>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</si>
  <si>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</si>
  <si>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</si>
  <si>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</si>
  <si>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</si>
  <si>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</si>
  <si>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</si>
  <si>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</si>
  <si>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</si>
  <si>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</si>
  <si>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</si>
  <si>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</si>
  <si>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</si>
  <si>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</si>
  <si>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</si>
  <si>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</si>
  <si>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</si>
  <si>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</si>
  <si>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</si>
  <si>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</si>
  <si>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</si>
  <si>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</si>
  <si>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</si>
  <si>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</si>
  <si>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</si>
  <si>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</si>
  <si>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</si>
  <si>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</si>
  <si>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</si>
  <si>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</si>
  <si>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</si>
  <si>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</si>
  <si>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</si>
  <si>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</si>
  <si>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</si>
  <si>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</si>
  <si>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</si>
  <si>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</si>
  <si>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</si>
  <si>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</si>
  <si>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</si>
  <si>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</si>
  <si>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</si>
  <si>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</si>
  <si>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</si>
  <si>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</si>
  <si>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</si>
  <si>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</si>
  <si>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</si>
  <si>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</si>
  <si>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</si>
  <si>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</si>
  <si>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</si>
  <si>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</si>
  <si>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</si>
  <si>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</si>
  <si>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</si>
  <si>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</si>
  <si>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</si>
  <si>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</si>
  <si>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</si>
  <si>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</si>
  <si>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</si>
  <si>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</si>
  <si>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</si>
  <si>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</si>
  <si>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</si>
  <si>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</si>
  <si>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</si>
  <si>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</si>
  <si>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</si>
  <si>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</si>
  <si>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</si>
  <si>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</si>
  <si>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</si>
  <si>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</si>
  <si>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</si>
  <si>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</si>
  <si>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</si>
  <si>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</si>
  <si>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</si>
  <si>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</si>
  <si>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</si>
  <si>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</si>
  <si>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</si>
  <si>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</si>
  <si>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</si>
  <si>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</si>
  <si>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</si>
  <si>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</si>
  <si>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</si>
  <si>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</si>
  <si>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</si>
  <si>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</si>
  <si>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</si>
  <si>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</si>
  <si>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</si>
  <si>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</si>
  <si>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</si>
  <si>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</si>
  <si>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</si>
  <si>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</si>
  <si>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</si>
  <si>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</si>
  <si>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</si>
  <si>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</si>
  <si>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</si>
  <si>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</si>
  <si>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</si>
  <si>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</si>
  <si>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</si>
  <si>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</si>
  <si>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</si>
  <si>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</si>
  <si>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</si>
  <si>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</si>
  <si>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</si>
  <si>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</si>
  <si>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</si>
  <si>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</si>
  <si>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</si>
  <si>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</si>
  <si>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</si>
  <si>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</si>
  <si>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</si>
  <si>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</si>
  <si>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</si>
  <si>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</si>
  <si>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</si>
  <si>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</si>
  <si>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</si>
  <si>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</si>
  <si>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</si>
  <si>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</si>
  <si>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</si>
  <si>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</si>
  <si>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</si>
  <si>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</si>
  <si>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</si>
  <si>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</si>
  <si>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</si>
  <si>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</si>
  <si>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</si>
  <si>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</si>
  <si>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</si>
  <si>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</si>
  <si>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</si>
  <si>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</si>
  <si>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</si>
  <si>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</si>
  <si>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</si>
  <si>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</si>
  <si>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</si>
  <si>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</si>
  <si>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</si>
  <si>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</si>
  <si>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</si>
  <si>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</si>
  <si>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</si>
  <si>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</si>
  <si>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</si>
  <si>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</si>
  <si>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</si>
  <si>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</si>
  <si>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</si>
  <si>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</si>
  <si>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</si>
  <si>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</si>
  <si>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</si>
  <si>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</si>
  <si>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</si>
  <si>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</si>
  <si>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</si>
  <si>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</si>
  <si>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</si>
  <si>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</si>
  <si>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</si>
  <si>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</si>
  <si>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</si>
  <si>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</si>
  <si>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</si>
  <si>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</si>
  <si>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</si>
  <si>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</si>
  <si>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</si>
  <si>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</si>
  <si>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</si>
  <si>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</si>
  <si>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</si>
  <si>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</si>
  <si>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</si>
  <si>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</si>
  <si>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</si>
  <si>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</si>
  <si>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</si>
  <si>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</si>
  <si>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</si>
  <si>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</si>
  <si>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</si>
  <si>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</si>
  <si>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</si>
  <si>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</si>
  <si>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</si>
  <si>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</si>
  <si>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</si>
  <si>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</si>
  <si>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</si>
  <si>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</si>
  <si>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</si>
  <si>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</si>
  <si>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</si>
  <si>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</si>
  <si>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</si>
  <si>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</si>
  <si>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</si>
  <si>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</si>
  <si>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</si>
  <si>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</si>
  <si>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</si>
  <si>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</si>
  <si>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</si>
  <si>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</si>
  <si>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</si>
  <si>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</si>
  <si>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</si>
  <si>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</si>
  <si>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</si>
  <si>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</si>
  <si>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</si>
  <si>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</si>
  <si>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</si>
  <si>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</si>
  <si>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</si>
  <si>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</si>
  <si>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</si>
  <si>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</si>
  <si>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</si>
  <si>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</si>
  <si>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</si>
  <si>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</si>
  <si>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</si>
  <si>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</si>
  <si>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</si>
  <si>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</si>
  <si>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</si>
  <si>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</si>
  <si>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</si>
  <si>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</si>
  <si>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</si>
  <si>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</si>
  <si>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</si>
  <si>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</si>
  <si>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</si>
  <si>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</si>
  <si>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</si>
  <si>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</si>
  <si>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</si>
  <si>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</si>
  <si>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</si>
  <si>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</si>
  <si>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</si>
  <si>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</si>
  <si>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</si>
  <si>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</si>
  <si>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</si>
  <si>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</si>
  <si>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</si>
  <si>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</si>
  <si>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</si>
  <si>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</si>
  <si>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</si>
  <si>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</si>
  <si>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</si>
  <si>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</si>
  <si>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</si>
  <si>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</si>
  <si>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</si>
  <si>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</si>
  <si>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</si>
  <si>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</si>
  <si>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</si>
  <si>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</si>
  <si>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</si>
  <si>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</si>
  <si>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</si>
  <si>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</si>
  <si>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</si>
  <si>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</si>
  <si>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</si>
  <si>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</si>
  <si>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</si>
  <si>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</si>
  <si>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</si>
  <si>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</si>
  <si>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</si>
  <si>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</si>
  <si>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</si>
  <si>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</si>
  <si>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</si>
  <si>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</si>
  <si>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</si>
  <si>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</si>
  <si>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</si>
  <si>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</si>
  <si>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</si>
  <si>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</si>
  <si>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</si>
  <si>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</si>
  <si>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</si>
  <si>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</si>
  <si>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</si>
  <si>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</si>
  <si>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</si>
  <si>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</si>
  <si>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</si>
  <si>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</si>
  <si>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</si>
  <si>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</si>
  <si>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</si>
  <si>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</si>
  <si>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</si>
  <si>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</si>
  <si>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</si>
  <si>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</si>
  <si>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</si>
  <si>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</si>
  <si>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</si>
  <si>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</si>
  <si>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</si>
  <si>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</si>
  <si>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</si>
  <si>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</si>
  <si>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</si>
  <si>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</si>
  <si>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</si>
  <si>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</si>
  <si>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</si>
  <si>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</si>
  <si>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</si>
  <si>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</si>
  <si>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</si>
  <si>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</si>
  <si>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</si>
  <si>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</si>
  <si>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</si>
  <si>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</si>
  <si>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</si>
  <si>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</si>
  <si>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</si>
  <si>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</si>
  <si>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</si>
  <si>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</si>
  <si>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</si>
  <si>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</si>
  <si>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</si>
  <si>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</si>
  <si>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</si>
  <si>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</si>
  <si>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</si>
  <si>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</si>
  <si>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</si>
  <si>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</si>
  <si>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</si>
  <si>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</si>
  <si>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</si>
  <si>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</si>
  <si>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</si>
  <si>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</si>
  <si>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</si>
  <si>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</si>
  <si>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</si>
  <si>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</si>
  <si>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</si>
  <si>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</si>
  <si>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</si>
  <si>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</si>
  <si>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</si>
  <si>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</si>
  <si>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</si>
  <si>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</si>
  <si>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</si>
  <si>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</si>
  <si>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</si>
  <si>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</si>
  <si>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</si>
  <si>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</si>
  <si>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</si>
  <si>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</si>
  <si>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</si>
  <si>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</si>
  <si>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</si>
  <si>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</si>
  <si>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</si>
  <si>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</si>
  <si>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</si>
  <si>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</si>
  <si>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</si>
  <si>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</si>
  <si>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</si>
  <si>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</si>
  <si>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</si>
  <si>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</si>
  <si>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</si>
  <si>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</si>
  <si>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</si>
  <si>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</si>
  <si>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</si>
  <si>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</si>
  <si>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</si>
  <si>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</si>
  <si>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</si>
  <si>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</si>
  <si>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</si>
  <si>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</si>
  <si>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</si>
  <si>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</si>
  <si>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</si>
  <si>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</si>
  <si>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</si>
  <si>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</si>
  <si>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</si>
  <si>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</si>
  <si>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</si>
  <si>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</si>
  <si>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</si>
  <si>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</si>
  <si>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</si>
  <si>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</si>
  <si>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</si>
  <si>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</si>
  <si>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</si>
  <si>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</si>
  <si>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</si>
  <si>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</si>
  <si>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</si>
  <si>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</si>
  <si>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</si>
  <si>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</si>
  <si>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</si>
  <si>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</si>
  <si>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</si>
  <si>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</si>
  <si>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</si>
  <si>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</si>
  <si>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</si>
  <si>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</si>
  <si>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</si>
  <si>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</si>
  <si>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</si>
  <si>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</si>
  <si>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</si>
  <si>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</si>
  <si>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</si>
  <si>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</si>
  <si>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</si>
  <si>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</si>
  <si>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</si>
  <si>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</si>
  <si>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</si>
  <si>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</si>
  <si>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</si>
  <si>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</si>
  <si>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</si>
  <si>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</si>
  <si>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</si>
  <si>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</si>
  <si>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</si>
  <si>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</si>
  <si>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</si>
  <si>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</si>
  <si>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</si>
  <si>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</si>
  <si>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</si>
  <si>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</si>
  <si>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</si>
  <si>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</si>
  <si>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</si>
  <si>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</si>
  <si>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</si>
  <si>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</si>
  <si>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</si>
  <si>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</si>
  <si>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</si>
  <si>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</si>
  <si>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</si>
  <si>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</si>
  <si>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</si>
  <si>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</si>
  <si>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</si>
  <si>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</si>
  <si>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</si>
  <si>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</si>
  <si>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</si>
  <si>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</si>
  <si>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</si>
  <si>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</si>
  <si>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</si>
  <si>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</si>
  <si>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</si>
  <si>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</si>
  <si>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</si>
  <si>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</si>
  <si>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</si>
  <si>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</si>
  <si>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</si>
  <si>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</si>
  <si>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</si>
  <si>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</si>
  <si>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</si>
  <si>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</si>
  <si>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</si>
  <si>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</si>
  <si>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</si>
  <si>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</si>
  <si>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</si>
  <si>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</si>
  <si>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</si>
  <si>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</si>
  <si>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</si>
  <si>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</si>
  <si>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</si>
  <si>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</si>
  <si>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</si>
  <si>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</si>
  <si>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</si>
  <si>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</si>
  <si>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</si>
  <si>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</si>
  <si>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</si>
  <si>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</si>
  <si>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</si>
  <si>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</si>
  <si>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</si>
  <si>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</si>
  <si>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</si>
  <si>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</si>
  <si>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</si>
  <si>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</si>
  <si>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</si>
  <si>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</si>
  <si>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</si>
  <si>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</si>
  <si>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</si>
  <si>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</si>
  <si>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</si>
  <si>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</si>
  <si>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</si>
  <si>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</si>
  <si>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</si>
  <si>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</si>
  <si>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</si>
  <si>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</si>
  <si>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</si>
  <si>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</si>
  <si>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</si>
  <si>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</si>
  <si>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</si>
  <si>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</si>
  <si>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</si>
  <si>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</si>
  <si>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</si>
  <si>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</si>
  <si>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</si>
  <si>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</si>
  <si>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</si>
  <si>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</si>
  <si>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</si>
  <si>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</si>
  <si>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</si>
  <si>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</si>
  <si>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</si>
  <si>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</si>
  <si>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</si>
  <si>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</si>
  <si>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</si>
  <si>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</si>
  <si>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</si>
  <si>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</si>
  <si>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</si>
  <si>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</si>
  <si>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</si>
  <si>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</si>
  <si>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</si>
  <si>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</si>
  <si>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</si>
  <si>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</si>
  <si>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</si>
  <si>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</si>
  <si>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</si>
  <si>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</si>
  <si>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</si>
  <si>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</si>
  <si>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</si>
  <si>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</si>
  <si>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</si>
  <si>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</si>
  <si>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</si>
  <si>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</si>
  <si>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</si>
  <si>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</si>
  <si>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</si>
  <si>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</si>
  <si>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</si>
  <si>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</si>
  <si>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</si>
  <si>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</si>
  <si>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</si>
  <si>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</si>
  <si>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</si>
  <si>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</si>
  <si>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</si>
  <si>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</si>
  <si>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</si>
  <si>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</si>
  <si>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</si>
  <si>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</si>
  <si>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</si>
  <si>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</si>
  <si>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</si>
  <si>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</si>
  <si>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</si>
  <si>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</si>
  <si>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</si>
  <si>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</si>
  <si>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</si>
  <si>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</si>
  <si>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</si>
  <si>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</si>
  <si>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</si>
  <si>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</si>
  <si>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</si>
  <si>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</si>
  <si>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</si>
  <si>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</si>
  <si>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</si>
  <si>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</si>
  <si>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</si>
  <si>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</si>
  <si>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</si>
  <si>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</si>
  <si>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</si>
  <si>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</si>
  <si>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</si>
  <si>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</si>
  <si>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</si>
  <si>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</si>
  <si>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</si>
  <si>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</si>
  <si>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</si>
  <si>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</si>
  <si>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</si>
  <si>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</si>
  <si>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</si>
  <si>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</si>
  <si>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</si>
  <si>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</si>
  <si>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</si>
  <si>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</si>
  <si>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</si>
  <si>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</si>
  <si>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</si>
  <si>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</si>
  <si>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</si>
  <si>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</si>
  <si>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</si>
  <si>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</si>
  <si>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</si>
  <si>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</si>
  <si>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</si>
  <si>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</si>
  <si>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</si>
  <si>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</si>
  <si>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</si>
  <si>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</si>
  <si>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</si>
  <si>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</si>
  <si>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</si>
  <si>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</si>
  <si>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</si>
  <si>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</si>
  <si>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</si>
  <si>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</si>
  <si>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</si>
  <si>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</si>
  <si>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</si>
  <si>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</si>
  <si>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</si>
  <si>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</si>
  <si>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</si>
  <si>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</si>
  <si>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</si>
  <si>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</si>
  <si>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</si>
  <si>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</si>
  <si>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</si>
  <si>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</si>
  <si>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</si>
  <si>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</si>
  <si>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</si>
  <si>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</si>
  <si>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</si>
  <si>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</si>
  <si>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</si>
  <si>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</si>
  <si>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</si>
  <si>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</si>
  <si>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</si>
  <si>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</si>
  <si>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</si>
  <si>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</si>
  <si>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</si>
  <si>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</si>
  <si>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</si>
  <si>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</si>
  <si>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</si>
  <si>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</si>
  <si>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</si>
  <si>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</si>
  <si>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</si>
  <si>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</si>
  <si>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</si>
  <si>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</si>
  <si>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</si>
  <si>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</si>
  <si>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</si>
  <si>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</si>
  <si>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</si>
  <si>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</si>
  <si>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</si>
  <si>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</si>
  <si>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</si>
  <si>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</si>
  <si>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</si>
  <si>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</si>
  <si>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</si>
  <si>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</si>
  <si>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</si>
  <si>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</si>
  <si>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</si>
  <si>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</si>
  <si>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</si>
  <si>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</si>
  <si>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</si>
  <si>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</si>
  <si>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</si>
  <si>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</si>
  <si>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</si>
  <si>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</si>
  <si>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</si>
  <si>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</si>
  <si>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</si>
  <si>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</si>
  <si>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</si>
  <si>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</si>
  <si>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</si>
  <si>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</si>
  <si>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</si>
  <si>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</si>
  <si>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</si>
  <si>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</si>
  <si>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</si>
  <si>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</si>
  <si>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</si>
  <si>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</si>
  <si>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</si>
  <si>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</si>
  <si>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</si>
  <si>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</si>
  <si>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</si>
  <si>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</si>
  <si>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</si>
  <si>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</si>
  <si>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</si>
  <si>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</si>
  <si>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</si>
  <si>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</si>
  <si>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</si>
  <si>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</si>
  <si>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</si>
  <si>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</si>
  <si>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</si>
  <si>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</si>
  <si>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</si>
  <si>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</si>
  <si>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</si>
  <si>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</si>
  <si>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</si>
  <si>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</si>
  <si>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</si>
  <si>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</si>
  <si>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</si>
  <si>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</si>
  <si>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</si>
  <si>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</si>
  <si>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</si>
  <si>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</si>
  <si>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</si>
  <si>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</si>
  <si>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</si>
  <si>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</si>
  <si>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</si>
  <si>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</si>
  <si>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</si>
  <si>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</si>
  <si>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</si>
  <si>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41018</t>
  </si>
  <si>
    <t>GERAARDSBERGEN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</si>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</sst>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286219.01626434771</c:v>
                </c:pt>
                <c:pt idx="1">
                  <c:v>81775.788470154774</c:v>
                </c:pt>
                <c:pt idx="2">
                  <c:v>2132.3679999999999</c:v>
                </c:pt>
                <c:pt idx="3">
                  <c:v>5828.6155286004359</c:v>
                </c:pt>
                <c:pt idx="4">
                  <c:v>21043.223838504851</c:v>
                </c:pt>
                <c:pt idx="5">
                  <c:v>148703.57565563405</c:v>
                </c:pt>
                <c:pt idx="6">
                  <c:v>2003.5007936868078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286219.01626434771</c:v>
                </c:pt>
                <c:pt idx="1">
                  <c:v>81775.788470154774</c:v>
                </c:pt>
                <c:pt idx="2">
                  <c:v>2132.3679999999999</c:v>
                </c:pt>
                <c:pt idx="3">
                  <c:v>5828.6155286004359</c:v>
                </c:pt>
                <c:pt idx="4">
                  <c:v>21043.223838504851</c:v>
                </c:pt>
                <c:pt idx="5">
                  <c:v>148703.57565563405</c:v>
                </c:pt>
                <c:pt idx="6">
                  <c:v>2003.5007936868078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61577.480510741501</c:v>
                </c:pt>
                <c:pt idx="2">
                  <c:v>16269.499651297732</c:v>
                </c:pt>
                <c:pt idx="3">
                  <c:v>441.28934156695613</c:v>
                </c:pt>
                <c:pt idx="4">
                  <c:v>1454.6211403927537</c:v>
                </c:pt>
                <c:pt idx="5">
                  <c:v>4438.1854108592906</c:v>
                </c:pt>
                <c:pt idx="6">
                  <c:v>37271.344827669433</c:v>
                </c:pt>
                <c:pt idx="7">
                  <c:v>505.36306688457563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61577.480510741501</c:v>
                </c:pt>
                <c:pt idx="2">
                  <c:v>16269.499651297732</c:v>
                </c:pt>
                <c:pt idx="3">
                  <c:v>441.28934156695613</c:v>
                </c:pt>
                <c:pt idx="4">
                  <c:v>1454.6211403927537</c:v>
                </c:pt>
                <c:pt idx="5">
                  <c:v>4438.1854108592906</c:v>
                </c:pt>
                <c:pt idx="6">
                  <c:v>37271.344827669433</c:v>
                </c:pt>
                <c:pt idx="7">
                  <c:v>505.36306688457563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41018</v>
      </c>
      <c r="B6" s="385"/>
      <c r="C6" s="386"/>
    </row>
    <row r="7" spans="1:7" s="383" customFormat="1" ht="15.75" customHeight="1">
      <c r="A7" s="387" t="str">
        <f>txtMunicipality</f>
        <v>GERAARDSBERGEN</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36882.856400000004</v>
      </c>
      <c r="D10" s="985">
        <f ca="1">tertiair!C16</f>
        <v>0</v>
      </c>
      <c r="E10" s="985">
        <f ca="1">tertiair!D16</f>
        <v>37217.846027984589</v>
      </c>
      <c r="F10" s="985">
        <f>tertiair!E16</f>
        <v>414.81773502800297</v>
      </c>
      <c r="G10" s="985">
        <f ca="1">tertiair!F16</f>
        <v>5489.8361823763744</v>
      </c>
      <c r="H10" s="985">
        <f>tertiair!G16</f>
        <v>0</v>
      </c>
      <c r="I10" s="985">
        <f>tertiair!H16</f>
        <v>0</v>
      </c>
      <c r="J10" s="985">
        <f>tertiair!I16</f>
        <v>0</v>
      </c>
      <c r="K10" s="985">
        <f>tertiair!J16</f>
        <v>0</v>
      </c>
      <c r="L10" s="985">
        <f>tertiair!K16</f>
        <v>0</v>
      </c>
      <c r="M10" s="985">
        <f ca="1">tertiair!L16</f>
        <v>0</v>
      </c>
      <c r="N10" s="985">
        <f>tertiair!M16</f>
        <v>0</v>
      </c>
      <c r="O10" s="985">
        <f ca="1">tertiair!N16</f>
        <v>3899.673458099146</v>
      </c>
      <c r="P10" s="985">
        <f>tertiair!O16</f>
        <v>3.1266666666666669</v>
      </c>
      <c r="Q10" s="986">
        <f>tertiair!P16</f>
        <v>0</v>
      </c>
      <c r="R10" s="669">
        <f ca="1">SUM(C10:Q10)</f>
        <v>83908.156470154776</v>
      </c>
      <c r="S10" s="67"/>
    </row>
    <row r="11" spans="1:19" s="442" customFormat="1">
      <c r="A11" s="778" t="s">
        <v>220</v>
      </c>
      <c r="B11" s="783"/>
      <c r="C11" s="985">
        <f>huishoudens!B8</f>
        <v>60964.929043518736</v>
      </c>
      <c r="D11" s="985">
        <f>huishoudens!C8</f>
        <v>0</v>
      </c>
      <c r="E11" s="985">
        <f>huishoudens!D8</f>
        <v>101009.04791108541</v>
      </c>
      <c r="F11" s="985">
        <f>huishoudens!E8</f>
        <v>3204.8995940570048</v>
      </c>
      <c r="G11" s="985">
        <f>huishoudens!F8</f>
        <v>101104.58352980571</v>
      </c>
      <c r="H11" s="985">
        <f>huishoudens!G8</f>
        <v>0</v>
      </c>
      <c r="I11" s="985">
        <f>huishoudens!H8</f>
        <v>0</v>
      </c>
      <c r="J11" s="985">
        <f>huishoudens!I8</f>
        <v>0</v>
      </c>
      <c r="K11" s="985">
        <f>huishoudens!J8</f>
        <v>2357.755068546609</v>
      </c>
      <c r="L11" s="985">
        <f>huishoudens!K8</f>
        <v>0</v>
      </c>
      <c r="M11" s="985">
        <f>huishoudens!L8</f>
        <v>0</v>
      </c>
      <c r="N11" s="985">
        <f>huishoudens!M8</f>
        <v>0</v>
      </c>
      <c r="O11" s="985">
        <f>huishoudens!N8</f>
        <v>16455.291117334204</v>
      </c>
      <c r="P11" s="985">
        <f>huishoudens!O8</f>
        <v>245.44333333333333</v>
      </c>
      <c r="Q11" s="986">
        <f>huishoudens!P8</f>
        <v>877.06666666666661</v>
      </c>
      <c r="R11" s="669">
        <f>SUM(C11:Q11)</f>
        <v>286219.01626434771</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7471.98783</v>
      </c>
      <c r="D13" s="985">
        <f>industrie!C18</f>
        <v>0</v>
      </c>
      <c r="E13" s="985">
        <f>industrie!D18</f>
        <v>6615.7860771190017</v>
      </c>
      <c r="F13" s="985">
        <f>industrie!E18</f>
        <v>833.69827274308841</v>
      </c>
      <c r="G13" s="985">
        <f>industrie!F18</f>
        <v>5060.344182558606</v>
      </c>
      <c r="H13" s="985">
        <f>industrie!G18</f>
        <v>0</v>
      </c>
      <c r="I13" s="985">
        <f>industrie!H18</f>
        <v>0</v>
      </c>
      <c r="J13" s="985">
        <f>industrie!I18</f>
        <v>0</v>
      </c>
      <c r="K13" s="985">
        <f>industrie!J18</f>
        <v>42.717826337667319</v>
      </c>
      <c r="L13" s="985">
        <f>industrie!K18</f>
        <v>0</v>
      </c>
      <c r="M13" s="985">
        <f>industrie!L18</f>
        <v>0</v>
      </c>
      <c r="N13" s="985">
        <f>industrie!M18</f>
        <v>0</v>
      </c>
      <c r="O13" s="985">
        <f>industrie!N18</f>
        <v>1018.6896497464929</v>
      </c>
      <c r="P13" s="985">
        <f>industrie!O18</f>
        <v>0</v>
      </c>
      <c r="Q13" s="986">
        <f>industrie!P18</f>
        <v>0</v>
      </c>
      <c r="R13" s="669">
        <f>SUM(C13:Q13)</f>
        <v>21043.223838504851</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105319.77327351875</v>
      </c>
      <c r="D16" s="701">
        <f t="shared" ref="D16:R16" ca="1" si="0">SUM(D9:D15)</f>
        <v>0</v>
      </c>
      <c r="E16" s="701">
        <f t="shared" ca="1" si="0"/>
        <v>144842.680016189</v>
      </c>
      <c r="F16" s="701">
        <f t="shared" si="0"/>
        <v>4453.4156018280964</v>
      </c>
      <c r="G16" s="701">
        <f t="shared" ca="1" si="0"/>
        <v>111654.76389474068</v>
      </c>
      <c r="H16" s="701">
        <f t="shared" si="0"/>
        <v>0</v>
      </c>
      <c r="I16" s="701">
        <f t="shared" si="0"/>
        <v>0</v>
      </c>
      <c r="J16" s="701">
        <f t="shared" si="0"/>
        <v>0</v>
      </c>
      <c r="K16" s="701">
        <f t="shared" si="0"/>
        <v>2400.4728948842762</v>
      </c>
      <c r="L16" s="701">
        <f t="shared" si="0"/>
        <v>0</v>
      </c>
      <c r="M16" s="701">
        <f t="shared" ca="1" si="0"/>
        <v>0</v>
      </c>
      <c r="N16" s="701">
        <f t="shared" si="0"/>
        <v>0</v>
      </c>
      <c r="O16" s="701">
        <f t="shared" ca="1" si="0"/>
        <v>21373.654225179842</v>
      </c>
      <c r="P16" s="701">
        <f t="shared" si="0"/>
        <v>248.57</v>
      </c>
      <c r="Q16" s="701">
        <f t="shared" si="0"/>
        <v>877.06666666666661</v>
      </c>
      <c r="R16" s="701">
        <f t="shared" ca="1" si="0"/>
        <v>391170.39657300734</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9.9481065605380454</v>
      </c>
      <c r="D19" s="985">
        <f>transport!C54</f>
        <v>0</v>
      </c>
      <c r="E19" s="985">
        <f>transport!D54</f>
        <v>0</v>
      </c>
      <c r="F19" s="985">
        <f>transport!E54</f>
        <v>0</v>
      </c>
      <c r="G19" s="985">
        <f>transport!F54</f>
        <v>0</v>
      </c>
      <c r="H19" s="985">
        <f>transport!G54</f>
        <v>1885.0349284676861</v>
      </c>
      <c r="I19" s="985">
        <f>transport!H54</f>
        <v>0</v>
      </c>
      <c r="J19" s="985">
        <f>transport!I54</f>
        <v>0</v>
      </c>
      <c r="K19" s="985">
        <f>transport!J54</f>
        <v>0</v>
      </c>
      <c r="L19" s="985">
        <f>transport!K54</f>
        <v>0</v>
      </c>
      <c r="M19" s="985">
        <f>transport!L54</f>
        <v>0</v>
      </c>
      <c r="N19" s="985">
        <f>transport!M54</f>
        <v>108.51775865858367</v>
      </c>
      <c r="O19" s="985">
        <f>transport!N54</f>
        <v>0</v>
      </c>
      <c r="P19" s="985">
        <f>transport!O54</f>
        <v>0</v>
      </c>
      <c r="Q19" s="986">
        <f>transport!P54</f>
        <v>0</v>
      </c>
      <c r="R19" s="669">
        <f>SUM(C19:Q19)</f>
        <v>2003.5007936868078</v>
      </c>
      <c r="S19" s="67"/>
    </row>
    <row r="20" spans="1:19" s="442" customFormat="1">
      <c r="A20" s="778" t="s">
        <v>302</v>
      </c>
      <c r="B20" s="783"/>
      <c r="C20" s="985">
        <f>transport!B14</f>
        <v>22.592920272154373</v>
      </c>
      <c r="D20" s="985">
        <f>transport!C14</f>
        <v>0</v>
      </c>
      <c r="E20" s="985">
        <f>transport!D14</f>
        <v>38.554735556714668</v>
      </c>
      <c r="F20" s="985">
        <f>transport!E14</f>
        <v>371.87138106624309</v>
      </c>
      <c r="G20" s="985">
        <f>transport!F14</f>
        <v>0</v>
      </c>
      <c r="H20" s="985">
        <f>transport!G14</f>
        <v>118639.47465954277</v>
      </c>
      <c r="I20" s="985">
        <f>transport!H14</f>
        <v>22079.223587576358</v>
      </c>
      <c r="J20" s="985">
        <f>transport!I14</f>
        <v>0</v>
      </c>
      <c r="K20" s="985">
        <f>transport!J14</f>
        <v>0</v>
      </c>
      <c r="L20" s="985">
        <f>transport!K14</f>
        <v>0</v>
      </c>
      <c r="M20" s="985">
        <f>transport!L14</f>
        <v>0</v>
      </c>
      <c r="N20" s="985">
        <f>transport!M14</f>
        <v>7551.85837161979</v>
      </c>
      <c r="O20" s="985">
        <f>transport!N14</f>
        <v>0</v>
      </c>
      <c r="P20" s="985">
        <f>transport!O14</f>
        <v>0</v>
      </c>
      <c r="Q20" s="986">
        <f>transport!P14</f>
        <v>0</v>
      </c>
      <c r="R20" s="669">
        <f>SUM(C20:Q20)</f>
        <v>148703.57565563405</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32.541026832692417</v>
      </c>
      <c r="D22" s="781">
        <f t="shared" ref="D22:R22" si="1">SUM(D18:D21)</f>
        <v>0</v>
      </c>
      <c r="E22" s="781">
        <f t="shared" si="1"/>
        <v>38.554735556714668</v>
      </c>
      <c r="F22" s="781">
        <f t="shared" si="1"/>
        <v>371.87138106624309</v>
      </c>
      <c r="G22" s="781">
        <f t="shared" si="1"/>
        <v>0</v>
      </c>
      <c r="H22" s="781">
        <f t="shared" si="1"/>
        <v>120524.50958801046</v>
      </c>
      <c r="I22" s="781">
        <f t="shared" si="1"/>
        <v>22079.223587576358</v>
      </c>
      <c r="J22" s="781">
        <f t="shared" si="1"/>
        <v>0</v>
      </c>
      <c r="K22" s="781">
        <f t="shared" si="1"/>
        <v>0</v>
      </c>
      <c r="L22" s="781">
        <f t="shared" si="1"/>
        <v>0</v>
      </c>
      <c r="M22" s="781">
        <f t="shared" si="1"/>
        <v>0</v>
      </c>
      <c r="N22" s="781">
        <f t="shared" si="1"/>
        <v>7660.3761302783732</v>
      </c>
      <c r="O22" s="781">
        <f t="shared" si="1"/>
        <v>0</v>
      </c>
      <c r="P22" s="781">
        <f t="shared" si="1"/>
        <v>0</v>
      </c>
      <c r="Q22" s="781">
        <f t="shared" si="1"/>
        <v>0</v>
      </c>
      <c r="R22" s="781">
        <f t="shared" si="1"/>
        <v>150707.07644932086</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1433.5078999999998</v>
      </c>
      <c r="D24" s="985">
        <f>+landbouw!C8</f>
        <v>0</v>
      </c>
      <c r="E24" s="985">
        <f>+landbouw!D8</f>
        <v>524.97449368277421</v>
      </c>
      <c r="F24" s="985">
        <f>+landbouw!E8</f>
        <v>13.277750578099205</v>
      </c>
      <c r="G24" s="985">
        <f>+landbouw!F8</f>
        <v>3637.082625274707</v>
      </c>
      <c r="H24" s="985">
        <f>+landbouw!G8</f>
        <v>0</v>
      </c>
      <c r="I24" s="985">
        <f>+landbouw!H8</f>
        <v>0</v>
      </c>
      <c r="J24" s="985">
        <f>+landbouw!I8</f>
        <v>0</v>
      </c>
      <c r="K24" s="985">
        <f>+landbouw!J8</f>
        <v>219.77275906485568</v>
      </c>
      <c r="L24" s="985">
        <f>+landbouw!K8</f>
        <v>0</v>
      </c>
      <c r="M24" s="985">
        <f>+landbouw!L8</f>
        <v>0</v>
      </c>
      <c r="N24" s="985">
        <f>+landbouw!M8</f>
        <v>0</v>
      </c>
      <c r="O24" s="985">
        <f>+landbouw!N8</f>
        <v>0</v>
      </c>
      <c r="P24" s="985">
        <f>+landbouw!O8</f>
        <v>0</v>
      </c>
      <c r="Q24" s="986">
        <f>+landbouw!P8</f>
        <v>0</v>
      </c>
      <c r="R24" s="669">
        <f>SUM(C24:Q24)</f>
        <v>5828.6155286004359</v>
      </c>
      <c r="S24" s="67"/>
    </row>
    <row r="25" spans="1:19" s="442" customFormat="1" ht="15" thickBot="1">
      <c r="A25" s="800" t="s">
        <v>835</v>
      </c>
      <c r="B25" s="988"/>
      <c r="C25" s="989">
        <f>IF(Onbekend_ele_kWh="---",0,Onbekend_ele_kWh)/1000+IF(REST_rest_ele_kWh="---",0,REST_rest_ele_kWh)/1000</f>
        <v>1980.4069999999999</v>
      </c>
      <c r="D25" s="989"/>
      <c r="E25" s="989">
        <f>IF(onbekend_gas_kWh="---",0,onbekend_gas_kWh)/1000+IF(REST_rest_gas_kWh="---",0,REST_rest_gas_kWh)/1000</f>
        <v>4807.5445674518005</v>
      </c>
      <c r="F25" s="989"/>
      <c r="G25" s="989"/>
      <c r="H25" s="989"/>
      <c r="I25" s="989"/>
      <c r="J25" s="989"/>
      <c r="K25" s="989"/>
      <c r="L25" s="989"/>
      <c r="M25" s="989"/>
      <c r="N25" s="989"/>
      <c r="O25" s="989"/>
      <c r="P25" s="989"/>
      <c r="Q25" s="990"/>
      <c r="R25" s="669">
        <f>SUM(C25:Q25)</f>
        <v>6787.9515674518007</v>
      </c>
      <c r="S25" s="67"/>
    </row>
    <row r="26" spans="1:19" s="442" customFormat="1" ht="15.75" thickBot="1">
      <c r="A26" s="674" t="s">
        <v>836</v>
      </c>
      <c r="B26" s="786"/>
      <c r="C26" s="781">
        <f>SUM(C24:C25)</f>
        <v>3413.9148999999998</v>
      </c>
      <c r="D26" s="781">
        <f t="shared" ref="D26:R26" si="2">SUM(D24:D25)</f>
        <v>0</v>
      </c>
      <c r="E26" s="781">
        <f t="shared" si="2"/>
        <v>5332.5190611345752</v>
      </c>
      <c r="F26" s="781">
        <f t="shared" si="2"/>
        <v>13.277750578099205</v>
      </c>
      <c r="G26" s="781">
        <f t="shared" si="2"/>
        <v>3637.082625274707</v>
      </c>
      <c r="H26" s="781">
        <f t="shared" si="2"/>
        <v>0</v>
      </c>
      <c r="I26" s="781">
        <f t="shared" si="2"/>
        <v>0</v>
      </c>
      <c r="J26" s="781">
        <f t="shared" si="2"/>
        <v>0</v>
      </c>
      <c r="K26" s="781">
        <f t="shared" si="2"/>
        <v>219.77275906485568</v>
      </c>
      <c r="L26" s="781">
        <f t="shared" si="2"/>
        <v>0</v>
      </c>
      <c r="M26" s="781">
        <f t="shared" si="2"/>
        <v>0</v>
      </c>
      <c r="N26" s="781">
        <f t="shared" si="2"/>
        <v>0</v>
      </c>
      <c r="O26" s="781">
        <f t="shared" si="2"/>
        <v>0</v>
      </c>
      <c r="P26" s="781">
        <f t="shared" si="2"/>
        <v>0</v>
      </c>
      <c r="Q26" s="781">
        <f t="shared" si="2"/>
        <v>0</v>
      </c>
      <c r="R26" s="781">
        <f t="shared" si="2"/>
        <v>12616.567096052237</v>
      </c>
      <c r="S26" s="67"/>
    </row>
    <row r="27" spans="1:19" s="442" customFormat="1" ht="17.25" thickTop="1" thickBot="1">
      <c r="A27" s="675" t="s">
        <v>115</v>
      </c>
      <c r="B27" s="774"/>
      <c r="C27" s="676">
        <f ca="1">C22+C16+C26</f>
        <v>108766.22920035144</v>
      </c>
      <c r="D27" s="676">
        <f t="shared" ref="D27:R27" ca="1" si="3">D22+D16+D26</f>
        <v>0</v>
      </c>
      <c r="E27" s="676">
        <f t="shared" ca="1" si="3"/>
        <v>150213.75381288028</v>
      </c>
      <c r="F27" s="676">
        <f t="shared" si="3"/>
        <v>4838.564733472439</v>
      </c>
      <c r="G27" s="676">
        <f t="shared" ca="1" si="3"/>
        <v>115291.84652001539</v>
      </c>
      <c r="H27" s="676">
        <f t="shared" si="3"/>
        <v>120524.50958801046</v>
      </c>
      <c r="I27" s="676">
        <f t="shared" si="3"/>
        <v>22079.223587576358</v>
      </c>
      <c r="J27" s="676">
        <f t="shared" si="3"/>
        <v>0</v>
      </c>
      <c r="K27" s="676">
        <f t="shared" si="3"/>
        <v>2620.2456539491318</v>
      </c>
      <c r="L27" s="676">
        <f t="shared" si="3"/>
        <v>0</v>
      </c>
      <c r="M27" s="676">
        <f t="shared" ca="1" si="3"/>
        <v>0</v>
      </c>
      <c r="N27" s="676">
        <f t="shared" si="3"/>
        <v>7660.3761302783732</v>
      </c>
      <c r="O27" s="676">
        <f t="shared" ca="1" si="3"/>
        <v>21373.654225179842</v>
      </c>
      <c r="P27" s="676">
        <f t="shared" si="3"/>
        <v>248.57</v>
      </c>
      <c r="Q27" s="676">
        <f t="shared" si="3"/>
        <v>877.06666666666661</v>
      </c>
      <c r="R27" s="676">
        <f t="shared" ca="1" si="3"/>
        <v>554494.04011838045</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7632.8342086659504</v>
      </c>
      <c r="D40" s="985">
        <f ca="1">tertiair!C20</f>
        <v>0</v>
      </c>
      <c r="E40" s="985">
        <f ca="1">tertiair!D20</f>
        <v>7518.0048976528878</v>
      </c>
      <c r="F40" s="985">
        <f>tertiair!E20</f>
        <v>94.163625851356684</v>
      </c>
      <c r="G40" s="985">
        <f ca="1">tertiair!F20</f>
        <v>1465.7862606944921</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16710.788992864687</v>
      </c>
    </row>
    <row r="41" spans="1:18">
      <c r="A41" s="791" t="s">
        <v>220</v>
      </c>
      <c r="B41" s="798"/>
      <c r="C41" s="985">
        <f ca="1">huishoudens!B12</f>
        <v>12616.57152812769</v>
      </c>
      <c r="D41" s="985">
        <f ca="1">huishoudens!C12</f>
        <v>0</v>
      </c>
      <c r="E41" s="985">
        <f>huishoudens!D12</f>
        <v>20403.827678039255</v>
      </c>
      <c r="F41" s="985">
        <f>huishoudens!E12</f>
        <v>727.51220785094017</v>
      </c>
      <c r="G41" s="985">
        <f>huishoudens!F12</f>
        <v>26994.923802458125</v>
      </c>
      <c r="H41" s="985">
        <f>huishoudens!G12</f>
        <v>0</v>
      </c>
      <c r="I41" s="985">
        <f>huishoudens!H12</f>
        <v>0</v>
      </c>
      <c r="J41" s="985">
        <f>huishoudens!I12</f>
        <v>0</v>
      </c>
      <c r="K41" s="985">
        <f>huishoudens!J12</f>
        <v>834.6452942654995</v>
      </c>
      <c r="L41" s="985">
        <f>huishoudens!K12</f>
        <v>0</v>
      </c>
      <c r="M41" s="985">
        <f>huishoudens!L12</f>
        <v>0</v>
      </c>
      <c r="N41" s="985">
        <f>huishoudens!M12</f>
        <v>0</v>
      </c>
      <c r="O41" s="985">
        <f>huishoudens!N12</f>
        <v>0</v>
      </c>
      <c r="P41" s="985">
        <f>huishoudens!O12</f>
        <v>0</v>
      </c>
      <c r="Q41" s="743">
        <f>huishoudens!P12</f>
        <v>0</v>
      </c>
      <c r="R41" s="819">
        <f t="shared" ca="1" si="4"/>
        <v>61577.480510741501</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1546.3131081018894</v>
      </c>
      <c r="D43" s="985">
        <f ca="1">industrie!C22</f>
        <v>0</v>
      </c>
      <c r="E43" s="985">
        <f>industrie!D22</f>
        <v>1336.3887875780383</v>
      </c>
      <c r="F43" s="985">
        <f>industrie!E22</f>
        <v>189.24950791268108</v>
      </c>
      <c r="G43" s="985">
        <f>industrie!F22</f>
        <v>1351.1118967431478</v>
      </c>
      <c r="H43" s="985">
        <f>industrie!G22</f>
        <v>0</v>
      </c>
      <c r="I43" s="985">
        <f>industrie!H22</f>
        <v>0</v>
      </c>
      <c r="J43" s="985">
        <f>industrie!I22</f>
        <v>0</v>
      </c>
      <c r="K43" s="985">
        <f>industrie!J22</f>
        <v>15.12211052353423</v>
      </c>
      <c r="L43" s="985">
        <f>industrie!K22</f>
        <v>0</v>
      </c>
      <c r="M43" s="985">
        <f>industrie!L22</f>
        <v>0</v>
      </c>
      <c r="N43" s="985">
        <f>industrie!M22</f>
        <v>0</v>
      </c>
      <c r="O43" s="985">
        <f>industrie!N22</f>
        <v>0</v>
      </c>
      <c r="P43" s="985">
        <f>industrie!O22</f>
        <v>0</v>
      </c>
      <c r="Q43" s="743">
        <f>industrie!P22</f>
        <v>0</v>
      </c>
      <c r="R43" s="818">
        <f t="shared" ca="1" si="4"/>
        <v>4438.1854108592906</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21795.718844895531</v>
      </c>
      <c r="D46" s="701">
        <f t="shared" ref="D46:Q46" ca="1" si="5">SUM(D39:D45)</f>
        <v>0</v>
      </c>
      <c r="E46" s="701">
        <f t="shared" ca="1" si="5"/>
        <v>29258.221363270182</v>
      </c>
      <c r="F46" s="701">
        <f t="shared" si="5"/>
        <v>1010.9253416149779</v>
      </c>
      <c r="G46" s="701">
        <f t="shared" ca="1" si="5"/>
        <v>29811.821959895762</v>
      </c>
      <c r="H46" s="701">
        <f t="shared" si="5"/>
        <v>0</v>
      </c>
      <c r="I46" s="701">
        <f t="shared" si="5"/>
        <v>0</v>
      </c>
      <c r="J46" s="701">
        <f t="shared" si="5"/>
        <v>0</v>
      </c>
      <c r="K46" s="701">
        <f t="shared" si="5"/>
        <v>849.76740478903378</v>
      </c>
      <c r="L46" s="701">
        <f t="shared" si="5"/>
        <v>0</v>
      </c>
      <c r="M46" s="701">
        <f t="shared" ca="1" si="5"/>
        <v>0</v>
      </c>
      <c r="N46" s="701">
        <f t="shared" si="5"/>
        <v>0</v>
      </c>
      <c r="O46" s="701">
        <f t="shared" ca="1" si="5"/>
        <v>0</v>
      </c>
      <c r="P46" s="701">
        <f t="shared" si="5"/>
        <v>0</v>
      </c>
      <c r="Q46" s="701">
        <f t="shared" si="5"/>
        <v>0</v>
      </c>
      <c r="R46" s="701">
        <f ca="1">SUM(R39:R45)</f>
        <v>82726.454914465488</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2.0587409837034465</v>
      </c>
      <c r="D49" s="985">
        <f ca="1">transport!C58</f>
        <v>0</v>
      </c>
      <c r="E49" s="985">
        <f>transport!D58</f>
        <v>0</v>
      </c>
      <c r="F49" s="985">
        <f>transport!E58</f>
        <v>0</v>
      </c>
      <c r="G49" s="985">
        <f>transport!F58</f>
        <v>0</v>
      </c>
      <c r="H49" s="985">
        <f>transport!G58</f>
        <v>503.30432590087219</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505.36306688457563</v>
      </c>
    </row>
    <row r="50" spans="1:18">
      <c r="A50" s="794" t="s">
        <v>302</v>
      </c>
      <c r="B50" s="804"/>
      <c r="C50" s="672">
        <f ca="1">transport!B18</f>
        <v>4.6755601805006171</v>
      </c>
      <c r="D50" s="672">
        <f>transport!C18</f>
        <v>0</v>
      </c>
      <c r="E50" s="672">
        <f>transport!D18</f>
        <v>7.7880565824563632</v>
      </c>
      <c r="F50" s="672">
        <f>transport!E18</f>
        <v>84.414803502037188</v>
      </c>
      <c r="G50" s="672">
        <f>transport!F18</f>
        <v>0</v>
      </c>
      <c r="H50" s="672">
        <f>transport!G18</f>
        <v>31676.739734097922</v>
      </c>
      <c r="I50" s="672">
        <f>transport!H18</f>
        <v>5497.7266733065135</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37271.344827669433</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6.734301164204064</v>
      </c>
      <c r="D52" s="701">
        <f t="shared" ref="D52:Q52" ca="1" si="6">SUM(D48:D51)</f>
        <v>0</v>
      </c>
      <c r="E52" s="701">
        <f t="shared" si="6"/>
        <v>7.7880565824563632</v>
      </c>
      <c r="F52" s="701">
        <f t="shared" si="6"/>
        <v>84.414803502037188</v>
      </c>
      <c r="G52" s="701">
        <f t="shared" si="6"/>
        <v>0</v>
      </c>
      <c r="H52" s="701">
        <f t="shared" si="6"/>
        <v>32180.044059998796</v>
      </c>
      <c r="I52" s="701">
        <f t="shared" si="6"/>
        <v>5497.7266733065135</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37776.707894554005</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296.66162563029923</v>
      </c>
      <c r="D54" s="672">
        <f ca="1">+landbouw!C12</f>
        <v>0</v>
      </c>
      <c r="E54" s="672">
        <f>+landbouw!D12</f>
        <v>106.0448477239204</v>
      </c>
      <c r="F54" s="672">
        <f>+landbouw!E12</f>
        <v>3.0140493812285198</v>
      </c>
      <c r="G54" s="672">
        <f>+landbouw!F12</f>
        <v>971.1010609483468</v>
      </c>
      <c r="H54" s="672">
        <f>+landbouw!G12</f>
        <v>0</v>
      </c>
      <c r="I54" s="672">
        <f>+landbouw!H12</f>
        <v>0</v>
      </c>
      <c r="J54" s="672">
        <f>+landbouw!I12</f>
        <v>0</v>
      </c>
      <c r="K54" s="672">
        <f>+landbouw!J12</f>
        <v>77.799556708958903</v>
      </c>
      <c r="L54" s="672">
        <f>+landbouw!K12</f>
        <v>0</v>
      </c>
      <c r="M54" s="672">
        <f>+landbouw!L12</f>
        <v>0</v>
      </c>
      <c r="N54" s="672">
        <f>+landbouw!M12</f>
        <v>0</v>
      </c>
      <c r="O54" s="672">
        <f>+landbouw!N12</f>
        <v>0</v>
      </c>
      <c r="P54" s="672">
        <f>+landbouw!O12</f>
        <v>0</v>
      </c>
      <c r="Q54" s="673">
        <f>+landbouw!P12</f>
        <v>0</v>
      </c>
      <c r="R54" s="700">
        <f ca="1">SUM(C54:Q54)</f>
        <v>1454.6211403927537</v>
      </c>
    </row>
    <row r="55" spans="1:18" ht="15" thickBot="1">
      <c r="A55" s="794" t="s">
        <v>835</v>
      </c>
      <c r="B55" s="804"/>
      <c r="C55" s="672">
        <f ca="1">C25*'EF ele_warmte'!B12</f>
        <v>409.84131306819035</v>
      </c>
      <c r="D55" s="672"/>
      <c r="E55" s="672">
        <f>E25*EF_CO2_aardgas</f>
        <v>971.12400262526376</v>
      </c>
      <c r="F55" s="672"/>
      <c r="G55" s="672"/>
      <c r="H55" s="672"/>
      <c r="I55" s="672"/>
      <c r="J55" s="672"/>
      <c r="K55" s="672"/>
      <c r="L55" s="672"/>
      <c r="M55" s="672"/>
      <c r="N55" s="672"/>
      <c r="O55" s="672"/>
      <c r="P55" s="672"/>
      <c r="Q55" s="673"/>
      <c r="R55" s="700">
        <f ca="1">SUM(C55:Q55)</f>
        <v>1380.9653156934542</v>
      </c>
    </row>
    <row r="56" spans="1:18" ht="15.75" thickBot="1">
      <c r="A56" s="792" t="s">
        <v>836</v>
      </c>
      <c r="B56" s="805"/>
      <c r="C56" s="701">
        <f ca="1">SUM(C54:C55)</f>
        <v>706.50293869848952</v>
      </c>
      <c r="D56" s="701">
        <f t="shared" ref="D56:Q56" ca="1" si="7">SUM(D54:D55)</f>
        <v>0</v>
      </c>
      <c r="E56" s="701">
        <f t="shared" si="7"/>
        <v>1077.1688503491841</v>
      </c>
      <c r="F56" s="701">
        <f t="shared" si="7"/>
        <v>3.0140493812285198</v>
      </c>
      <c r="G56" s="701">
        <f t="shared" si="7"/>
        <v>971.1010609483468</v>
      </c>
      <c r="H56" s="701">
        <f t="shared" si="7"/>
        <v>0</v>
      </c>
      <c r="I56" s="701">
        <f t="shared" si="7"/>
        <v>0</v>
      </c>
      <c r="J56" s="701">
        <f t="shared" si="7"/>
        <v>0</v>
      </c>
      <c r="K56" s="701">
        <f t="shared" si="7"/>
        <v>77.799556708958903</v>
      </c>
      <c r="L56" s="701">
        <f t="shared" si="7"/>
        <v>0</v>
      </c>
      <c r="M56" s="701">
        <f t="shared" si="7"/>
        <v>0</v>
      </c>
      <c r="N56" s="701">
        <f t="shared" si="7"/>
        <v>0</v>
      </c>
      <c r="O56" s="701">
        <f t="shared" si="7"/>
        <v>0</v>
      </c>
      <c r="P56" s="701">
        <f t="shared" si="7"/>
        <v>0</v>
      </c>
      <c r="Q56" s="702">
        <f t="shared" si="7"/>
        <v>0</v>
      </c>
      <c r="R56" s="703">
        <f ca="1">SUM(R54:R55)</f>
        <v>2835.5864560862078</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22508.956084758225</v>
      </c>
      <c r="D61" s="709">
        <f t="shared" ref="D61:Q61" ca="1" si="8">D46+D52+D56</f>
        <v>0</v>
      </c>
      <c r="E61" s="709">
        <f t="shared" ca="1" si="8"/>
        <v>30343.178270201824</v>
      </c>
      <c r="F61" s="709">
        <f t="shared" si="8"/>
        <v>1098.3541944982435</v>
      </c>
      <c r="G61" s="709">
        <f t="shared" ca="1" si="8"/>
        <v>30782.923020844108</v>
      </c>
      <c r="H61" s="709">
        <f t="shared" si="8"/>
        <v>32180.044059998796</v>
      </c>
      <c r="I61" s="709">
        <f t="shared" si="8"/>
        <v>5497.7266733065135</v>
      </c>
      <c r="J61" s="709">
        <f t="shared" si="8"/>
        <v>0</v>
      </c>
      <c r="K61" s="709">
        <f t="shared" si="8"/>
        <v>927.56696149799268</v>
      </c>
      <c r="L61" s="709">
        <f t="shared" si="8"/>
        <v>0</v>
      </c>
      <c r="M61" s="709">
        <f t="shared" ca="1" si="8"/>
        <v>0</v>
      </c>
      <c r="N61" s="709">
        <f t="shared" si="8"/>
        <v>0</v>
      </c>
      <c r="O61" s="709">
        <f t="shared" ca="1" si="8"/>
        <v>0</v>
      </c>
      <c r="P61" s="709">
        <f t="shared" si="8"/>
        <v>0</v>
      </c>
      <c r="Q61" s="709">
        <f t="shared" si="8"/>
        <v>0</v>
      </c>
      <c r="R61" s="709">
        <f ca="1">R46+R52+R56</f>
        <v>123338.74926510571</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0.20694802283984573</v>
      </c>
      <c r="D63" s="750">
        <f t="shared" ca="1" si="9"/>
        <v>0</v>
      </c>
      <c r="E63" s="996">
        <f t="shared" ca="1" si="9"/>
        <v>0.20200000000000004</v>
      </c>
      <c r="F63" s="750">
        <f t="shared" si="9"/>
        <v>0.22699999999999995</v>
      </c>
      <c r="G63" s="750">
        <f t="shared" ca="1" si="9"/>
        <v>0.26700000000000002</v>
      </c>
      <c r="H63" s="750">
        <f t="shared" si="9"/>
        <v>0.26700000000000002</v>
      </c>
      <c r="I63" s="750">
        <f t="shared" si="9"/>
        <v>0.24900000000000003</v>
      </c>
      <c r="J63" s="750">
        <f t="shared" si="9"/>
        <v>0</v>
      </c>
      <c r="K63" s="750">
        <f t="shared" si="9"/>
        <v>0.35400000000000004</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6915.7491788210136</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0</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0</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6915.7491788210136</v>
      </c>
      <c r="C78" s="724">
        <f>SUM(C72:C77)</f>
        <v>0</v>
      </c>
      <c r="D78" s="725">
        <f t="shared" ref="D78:H78" si="10">SUM(D76:D77)</f>
        <v>0</v>
      </c>
      <c r="E78" s="725">
        <f t="shared" si="10"/>
        <v>0</v>
      </c>
      <c r="F78" s="725">
        <f t="shared" si="10"/>
        <v>0</v>
      </c>
      <c r="G78" s="725">
        <f t="shared" si="10"/>
        <v>0</v>
      </c>
      <c r="H78" s="725">
        <f t="shared" si="10"/>
        <v>0</v>
      </c>
      <c r="I78" s="725">
        <f>SUM(I76:I77)</f>
        <v>0</v>
      </c>
      <c r="J78" s="725">
        <f>SUM(J76:J77)</f>
        <v>0</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0</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0</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0</v>
      </c>
      <c r="C90" s="724">
        <f>SUM(C87:C89)</f>
        <v>0</v>
      </c>
      <c r="D90" s="724">
        <f t="shared" ref="D90:H90" si="12">SUM(D87:D89)</f>
        <v>0</v>
      </c>
      <c r="E90" s="724">
        <f t="shared" si="12"/>
        <v>0</v>
      </c>
      <c r="F90" s="724">
        <f t="shared" si="12"/>
        <v>0</v>
      </c>
      <c r="G90" s="724">
        <f t="shared" si="12"/>
        <v>0</v>
      </c>
      <c r="H90" s="724">
        <f t="shared" si="12"/>
        <v>0</v>
      </c>
      <c r="I90" s="724">
        <f>SUM(I87:I89)</f>
        <v>0</v>
      </c>
      <c r="J90" s="724">
        <f>SUM(J87:J89)</f>
        <v>0</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60964.929043518736</v>
      </c>
      <c r="C4" s="446">
        <f>huishoudens!C8</f>
        <v>0</v>
      </c>
      <c r="D4" s="446">
        <f>huishoudens!D8</f>
        <v>101009.04791108541</v>
      </c>
      <c r="E4" s="446">
        <f>huishoudens!E8</f>
        <v>3204.8995940570048</v>
      </c>
      <c r="F4" s="446">
        <f>huishoudens!F8</f>
        <v>101104.58352980571</v>
      </c>
      <c r="G4" s="446">
        <f>huishoudens!G8</f>
        <v>0</v>
      </c>
      <c r="H4" s="446">
        <f>huishoudens!H8</f>
        <v>0</v>
      </c>
      <c r="I4" s="446">
        <f>huishoudens!I8</f>
        <v>0</v>
      </c>
      <c r="J4" s="446">
        <f>huishoudens!J8</f>
        <v>2357.755068546609</v>
      </c>
      <c r="K4" s="446">
        <f>huishoudens!K8</f>
        <v>0</v>
      </c>
      <c r="L4" s="446">
        <f>huishoudens!L8</f>
        <v>0</v>
      </c>
      <c r="M4" s="446">
        <f>huishoudens!M8</f>
        <v>0</v>
      </c>
      <c r="N4" s="446">
        <f>huishoudens!N8</f>
        <v>16455.291117334204</v>
      </c>
      <c r="O4" s="446">
        <f>huishoudens!O8</f>
        <v>245.44333333333333</v>
      </c>
      <c r="P4" s="447">
        <f>huishoudens!P8</f>
        <v>877.06666666666661</v>
      </c>
      <c r="Q4" s="448">
        <f>SUM(B4:P4)</f>
        <v>286219.01626434771</v>
      </c>
    </row>
    <row r="5" spans="1:17">
      <c r="A5" s="445" t="s">
        <v>155</v>
      </c>
      <c r="B5" s="446">
        <f ca="1">tertiair!B16</f>
        <v>34750.488400000002</v>
      </c>
      <c r="C5" s="446">
        <f ca="1">tertiair!C16</f>
        <v>0</v>
      </c>
      <c r="D5" s="446">
        <f ca="1">tertiair!D16</f>
        <v>37217.846027984589</v>
      </c>
      <c r="E5" s="446">
        <f>tertiair!E16</f>
        <v>414.81773502800297</v>
      </c>
      <c r="F5" s="446">
        <f ca="1">tertiair!F16</f>
        <v>5489.8361823763744</v>
      </c>
      <c r="G5" s="446">
        <f>tertiair!G16</f>
        <v>0</v>
      </c>
      <c r="H5" s="446">
        <f>tertiair!H16</f>
        <v>0</v>
      </c>
      <c r="I5" s="446">
        <f>tertiair!I16</f>
        <v>0</v>
      </c>
      <c r="J5" s="446">
        <f>tertiair!J16</f>
        <v>0</v>
      </c>
      <c r="K5" s="446">
        <f>tertiair!K16</f>
        <v>0</v>
      </c>
      <c r="L5" s="446">
        <f ca="1">tertiair!L16</f>
        <v>0</v>
      </c>
      <c r="M5" s="446">
        <f>tertiair!M16</f>
        <v>0</v>
      </c>
      <c r="N5" s="446">
        <f ca="1">tertiair!N16</f>
        <v>3899.673458099146</v>
      </c>
      <c r="O5" s="446">
        <f>tertiair!O16</f>
        <v>3.1266666666666669</v>
      </c>
      <c r="P5" s="447">
        <f>tertiair!P16</f>
        <v>0</v>
      </c>
      <c r="Q5" s="445">
        <f t="shared" ref="Q5:Q14" ca="1" si="0">SUM(B5:P5)</f>
        <v>81775.788470154774</v>
      </c>
    </row>
    <row r="6" spans="1:17">
      <c r="A6" s="445" t="s">
        <v>193</v>
      </c>
      <c r="B6" s="446">
        <f>'openbare verlichting'!B8</f>
        <v>2132.3679999999999</v>
      </c>
      <c r="C6" s="446"/>
      <c r="D6" s="446"/>
      <c r="E6" s="446"/>
      <c r="F6" s="446"/>
      <c r="G6" s="446"/>
      <c r="H6" s="446"/>
      <c r="I6" s="446"/>
      <c r="J6" s="446"/>
      <c r="K6" s="446"/>
      <c r="L6" s="446"/>
      <c r="M6" s="446"/>
      <c r="N6" s="446"/>
      <c r="O6" s="446"/>
      <c r="P6" s="447"/>
      <c r="Q6" s="445">
        <f t="shared" si="0"/>
        <v>2132.3679999999999</v>
      </c>
    </row>
    <row r="7" spans="1:17">
      <c r="A7" s="445" t="s">
        <v>111</v>
      </c>
      <c r="B7" s="446">
        <f>landbouw!B8</f>
        <v>1433.5078999999998</v>
      </c>
      <c r="C7" s="446">
        <f>landbouw!C8</f>
        <v>0</v>
      </c>
      <c r="D7" s="446">
        <f>landbouw!D8</f>
        <v>524.97449368277421</v>
      </c>
      <c r="E7" s="446">
        <f>landbouw!E8</f>
        <v>13.277750578099205</v>
      </c>
      <c r="F7" s="446">
        <f>landbouw!F8</f>
        <v>3637.082625274707</v>
      </c>
      <c r="G7" s="446">
        <f>landbouw!G8</f>
        <v>0</v>
      </c>
      <c r="H7" s="446">
        <f>landbouw!H8</f>
        <v>0</v>
      </c>
      <c r="I7" s="446">
        <f>landbouw!I8</f>
        <v>0</v>
      </c>
      <c r="J7" s="446">
        <f>landbouw!J8</f>
        <v>219.77275906485568</v>
      </c>
      <c r="K7" s="446">
        <f>landbouw!K8</f>
        <v>0</v>
      </c>
      <c r="L7" s="446">
        <f>landbouw!L8</f>
        <v>0</v>
      </c>
      <c r="M7" s="446">
        <f>landbouw!M8</f>
        <v>0</v>
      </c>
      <c r="N7" s="446">
        <f>landbouw!N8</f>
        <v>0</v>
      </c>
      <c r="O7" s="446">
        <f>landbouw!O8</f>
        <v>0</v>
      </c>
      <c r="P7" s="447">
        <f>landbouw!P8</f>
        <v>0</v>
      </c>
      <c r="Q7" s="445">
        <f t="shared" si="0"/>
        <v>5828.6155286004359</v>
      </c>
    </row>
    <row r="8" spans="1:17">
      <c r="A8" s="445" t="s">
        <v>643</v>
      </c>
      <c r="B8" s="446">
        <f>industrie!B18</f>
        <v>7471.98783</v>
      </c>
      <c r="C8" s="446">
        <f>industrie!C18</f>
        <v>0</v>
      </c>
      <c r="D8" s="446">
        <f>industrie!D18</f>
        <v>6615.7860771190017</v>
      </c>
      <c r="E8" s="446">
        <f>industrie!E18</f>
        <v>833.69827274308841</v>
      </c>
      <c r="F8" s="446">
        <f>industrie!F18</f>
        <v>5060.344182558606</v>
      </c>
      <c r="G8" s="446">
        <f>industrie!G18</f>
        <v>0</v>
      </c>
      <c r="H8" s="446">
        <f>industrie!H18</f>
        <v>0</v>
      </c>
      <c r="I8" s="446">
        <f>industrie!I18</f>
        <v>0</v>
      </c>
      <c r="J8" s="446">
        <f>industrie!J18</f>
        <v>42.717826337667319</v>
      </c>
      <c r="K8" s="446">
        <f>industrie!K18</f>
        <v>0</v>
      </c>
      <c r="L8" s="446">
        <f>industrie!L18</f>
        <v>0</v>
      </c>
      <c r="M8" s="446">
        <f>industrie!M18</f>
        <v>0</v>
      </c>
      <c r="N8" s="446">
        <f>industrie!N18</f>
        <v>1018.6896497464929</v>
      </c>
      <c r="O8" s="446">
        <f>industrie!O18</f>
        <v>0</v>
      </c>
      <c r="P8" s="447">
        <f>industrie!P18</f>
        <v>0</v>
      </c>
      <c r="Q8" s="445">
        <f t="shared" si="0"/>
        <v>21043.223838504851</v>
      </c>
    </row>
    <row r="9" spans="1:17" s="451" customFormat="1">
      <c r="A9" s="449" t="s">
        <v>564</v>
      </c>
      <c r="B9" s="450">
        <f>transport!B14</f>
        <v>22.592920272154373</v>
      </c>
      <c r="C9" s="450">
        <f>transport!C14</f>
        <v>0</v>
      </c>
      <c r="D9" s="450">
        <f>transport!D14</f>
        <v>38.554735556714668</v>
      </c>
      <c r="E9" s="450">
        <f>transport!E14</f>
        <v>371.87138106624309</v>
      </c>
      <c r="F9" s="450">
        <f>transport!F14</f>
        <v>0</v>
      </c>
      <c r="G9" s="450">
        <f>transport!G14</f>
        <v>118639.47465954277</v>
      </c>
      <c r="H9" s="450">
        <f>transport!H14</f>
        <v>22079.223587576358</v>
      </c>
      <c r="I9" s="450">
        <f>transport!I14</f>
        <v>0</v>
      </c>
      <c r="J9" s="450">
        <f>transport!J14</f>
        <v>0</v>
      </c>
      <c r="K9" s="450">
        <f>transport!K14</f>
        <v>0</v>
      </c>
      <c r="L9" s="450">
        <f>transport!L14</f>
        <v>0</v>
      </c>
      <c r="M9" s="450">
        <f>transport!M14</f>
        <v>7551.85837161979</v>
      </c>
      <c r="N9" s="450">
        <f>transport!N14</f>
        <v>0</v>
      </c>
      <c r="O9" s="450">
        <f>transport!O14</f>
        <v>0</v>
      </c>
      <c r="P9" s="450">
        <f>transport!P14</f>
        <v>0</v>
      </c>
      <c r="Q9" s="449">
        <f>SUM(B9:P9)</f>
        <v>148703.57565563405</v>
      </c>
    </row>
    <row r="10" spans="1:17">
      <c r="A10" s="445" t="s">
        <v>554</v>
      </c>
      <c r="B10" s="446">
        <f>transport!B54</f>
        <v>9.9481065605380454</v>
      </c>
      <c r="C10" s="446">
        <f>transport!C54</f>
        <v>0</v>
      </c>
      <c r="D10" s="446">
        <f>transport!D54</f>
        <v>0</v>
      </c>
      <c r="E10" s="446">
        <f>transport!E54</f>
        <v>0</v>
      </c>
      <c r="F10" s="446">
        <f>transport!F54</f>
        <v>0</v>
      </c>
      <c r="G10" s="446">
        <f>transport!G54</f>
        <v>1885.0349284676861</v>
      </c>
      <c r="H10" s="446">
        <f>transport!H54</f>
        <v>0</v>
      </c>
      <c r="I10" s="446">
        <f>transport!I54</f>
        <v>0</v>
      </c>
      <c r="J10" s="446">
        <f>transport!J54</f>
        <v>0</v>
      </c>
      <c r="K10" s="446">
        <f>transport!K54</f>
        <v>0</v>
      </c>
      <c r="L10" s="446">
        <f>transport!L54</f>
        <v>0</v>
      </c>
      <c r="M10" s="446">
        <f>transport!M54</f>
        <v>108.51775865858367</v>
      </c>
      <c r="N10" s="446">
        <f>transport!N54</f>
        <v>0</v>
      </c>
      <c r="O10" s="446">
        <f>transport!O54</f>
        <v>0</v>
      </c>
      <c r="P10" s="447">
        <f>transport!P54</f>
        <v>0</v>
      </c>
      <c r="Q10" s="445">
        <f t="shared" si="0"/>
        <v>2003.5007936868078</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1980.4069999999999</v>
      </c>
      <c r="C14" s="453"/>
      <c r="D14" s="453">
        <f>'SEAP template'!E25</f>
        <v>4807.5445674518005</v>
      </c>
      <c r="E14" s="453"/>
      <c r="F14" s="453"/>
      <c r="G14" s="453"/>
      <c r="H14" s="453"/>
      <c r="I14" s="453"/>
      <c r="J14" s="453"/>
      <c r="K14" s="453"/>
      <c r="L14" s="453"/>
      <c r="M14" s="453"/>
      <c r="N14" s="453"/>
      <c r="O14" s="453"/>
      <c r="P14" s="454"/>
      <c r="Q14" s="445">
        <f t="shared" si="0"/>
        <v>6787.9515674518007</v>
      </c>
    </row>
    <row r="15" spans="1:17" s="455" customFormat="1">
      <c r="A15" s="1011" t="s">
        <v>558</v>
      </c>
      <c r="B15" s="951">
        <f ca="1">SUM(B4:B14)</f>
        <v>108766.22920035143</v>
      </c>
      <c r="C15" s="951">
        <f t="shared" ref="C15:Q15" ca="1" si="1">SUM(C4:C14)</f>
        <v>0</v>
      </c>
      <c r="D15" s="951">
        <f t="shared" ca="1" si="1"/>
        <v>150213.75381288028</v>
      </c>
      <c r="E15" s="951">
        <f t="shared" si="1"/>
        <v>4838.5647334724381</v>
      </c>
      <c r="F15" s="951">
        <f t="shared" ca="1" si="1"/>
        <v>115291.84652001539</v>
      </c>
      <c r="G15" s="951">
        <f t="shared" si="1"/>
        <v>120524.50958801046</v>
      </c>
      <c r="H15" s="951">
        <f t="shared" si="1"/>
        <v>22079.223587576358</v>
      </c>
      <c r="I15" s="951">
        <f t="shared" si="1"/>
        <v>0</v>
      </c>
      <c r="J15" s="951">
        <f t="shared" si="1"/>
        <v>2620.2456539491318</v>
      </c>
      <c r="K15" s="951">
        <f t="shared" si="1"/>
        <v>0</v>
      </c>
      <c r="L15" s="951">
        <f t="shared" ca="1" si="1"/>
        <v>0</v>
      </c>
      <c r="M15" s="951">
        <f t="shared" si="1"/>
        <v>7660.3761302783732</v>
      </c>
      <c r="N15" s="951">
        <f t="shared" ca="1" si="1"/>
        <v>21373.654225179842</v>
      </c>
      <c r="O15" s="951">
        <f t="shared" si="1"/>
        <v>248.57</v>
      </c>
      <c r="P15" s="951">
        <f t="shared" si="1"/>
        <v>877.06666666666661</v>
      </c>
      <c r="Q15" s="951">
        <f t="shared" ca="1" si="1"/>
        <v>554494.04011838045</v>
      </c>
    </row>
    <row r="17" spans="1:17">
      <c r="A17" s="456" t="s">
        <v>559</v>
      </c>
      <c r="B17" s="755">
        <f ca="1">huishoudens!B10</f>
        <v>0.20694802283984573</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12616.57152812769</v>
      </c>
      <c r="C22" s="446">
        <f t="shared" ref="C22:C32" ca="1" si="3">C4*$C$17</f>
        <v>0</v>
      </c>
      <c r="D22" s="446">
        <f t="shared" ref="D22:D32" si="4">D4*$D$17</f>
        <v>20403.827678039255</v>
      </c>
      <c r="E22" s="446">
        <f t="shared" ref="E22:E32" si="5">E4*$E$17</f>
        <v>727.51220785094017</v>
      </c>
      <c r="F22" s="446">
        <f t="shared" ref="F22:F32" si="6">F4*$F$17</f>
        <v>26994.923802458125</v>
      </c>
      <c r="G22" s="446">
        <f t="shared" ref="G22:G32" si="7">G4*$G$17</f>
        <v>0</v>
      </c>
      <c r="H22" s="446">
        <f t="shared" ref="H22:H32" si="8">H4*$H$17</f>
        <v>0</v>
      </c>
      <c r="I22" s="446">
        <f t="shared" ref="I22:I32" si="9">I4*$I$17</f>
        <v>0</v>
      </c>
      <c r="J22" s="446">
        <f t="shared" ref="J22:J32" si="10">J4*$J$17</f>
        <v>834.6452942654995</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61577.480510741501</v>
      </c>
    </row>
    <row r="23" spans="1:17">
      <c r="A23" s="445" t="s">
        <v>155</v>
      </c>
      <c r="B23" s="446">
        <f t="shared" ca="1" si="2"/>
        <v>7191.5448670989945</v>
      </c>
      <c r="C23" s="446">
        <f t="shared" ca="1" si="3"/>
        <v>0</v>
      </c>
      <c r="D23" s="446">
        <f t="shared" ca="1" si="4"/>
        <v>7518.0048976528878</v>
      </c>
      <c r="E23" s="446">
        <f t="shared" si="5"/>
        <v>94.163625851356684</v>
      </c>
      <c r="F23" s="446">
        <f t="shared" ca="1" si="6"/>
        <v>1465.7862606944921</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16269.499651297732</v>
      </c>
    </row>
    <row r="24" spans="1:17">
      <c r="A24" s="445" t="s">
        <v>193</v>
      </c>
      <c r="B24" s="446">
        <f t="shared" ca="1" si="2"/>
        <v>441.28934156695613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441.28934156695613</v>
      </c>
    </row>
    <row r="25" spans="1:17">
      <c r="A25" s="445" t="s">
        <v>111</v>
      </c>
      <c r="B25" s="446">
        <f t="shared" ca="1" si="2"/>
        <v>296.66162563029923</v>
      </c>
      <c r="C25" s="446">
        <f t="shared" ca="1" si="3"/>
        <v>0</v>
      </c>
      <c r="D25" s="446">
        <f t="shared" si="4"/>
        <v>106.0448477239204</v>
      </c>
      <c r="E25" s="446">
        <f t="shared" si="5"/>
        <v>3.0140493812285198</v>
      </c>
      <c r="F25" s="446">
        <f t="shared" si="6"/>
        <v>971.1010609483468</v>
      </c>
      <c r="G25" s="446">
        <f t="shared" si="7"/>
        <v>0</v>
      </c>
      <c r="H25" s="446">
        <f t="shared" si="8"/>
        <v>0</v>
      </c>
      <c r="I25" s="446">
        <f t="shared" si="9"/>
        <v>0</v>
      </c>
      <c r="J25" s="446">
        <f t="shared" si="10"/>
        <v>77.799556708958903</v>
      </c>
      <c r="K25" s="446">
        <f t="shared" si="11"/>
        <v>0</v>
      </c>
      <c r="L25" s="446">
        <f t="shared" si="12"/>
        <v>0</v>
      </c>
      <c r="M25" s="446">
        <f t="shared" si="13"/>
        <v>0</v>
      </c>
      <c r="N25" s="446">
        <f t="shared" si="14"/>
        <v>0</v>
      </c>
      <c r="O25" s="446">
        <f t="shared" si="15"/>
        <v>0</v>
      </c>
      <c r="P25" s="447">
        <f t="shared" si="16"/>
        <v>0</v>
      </c>
      <c r="Q25" s="445">
        <f t="shared" ca="1" si="17"/>
        <v>1454.6211403927537</v>
      </c>
    </row>
    <row r="26" spans="1:17">
      <c r="A26" s="445" t="s">
        <v>643</v>
      </c>
      <c r="B26" s="446">
        <f t="shared" ca="1" si="2"/>
        <v>1546.3131081018894</v>
      </c>
      <c r="C26" s="446">
        <f t="shared" ca="1" si="3"/>
        <v>0</v>
      </c>
      <c r="D26" s="446">
        <f t="shared" si="4"/>
        <v>1336.3887875780383</v>
      </c>
      <c r="E26" s="446">
        <f t="shared" si="5"/>
        <v>189.24950791268108</v>
      </c>
      <c r="F26" s="446">
        <f t="shared" si="6"/>
        <v>1351.1118967431478</v>
      </c>
      <c r="G26" s="446">
        <f t="shared" si="7"/>
        <v>0</v>
      </c>
      <c r="H26" s="446">
        <f t="shared" si="8"/>
        <v>0</v>
      </c>
      <c r="I26" s="446">
        <f t="shared" si="9"/>
        <v>0</v>
      </c>
      <c r="J26" s="446">
        <f t="shared" si="10"/>
        <v>15.12211052353423</v>
      </c>
      <c r="K26" s="446">
        <f t="shared" si="11"/>
        <v>0</v>
      </c>
      <c r="L26" s="446">
        <f t="shared" si="12"/>
        <v>0</v>
      </c>
      <c r="M26" s="446">
        <f t="shared" si="13"/>
        <v>0</v>
      </c>
      <c r="N26" s="446">
        <f t="shared" si="14"/>
        <v>0</v>
      </c>
      <c r="O26" s="446">
        <f t="shared" si="15"/>
        <v>0</v>
      </c>
      <c r="P26" s="447">
        <f t="shared" si="16"/>
        <v>0</v>
      </c>
      <c r="Q26" s="445">
        <f t="shared" ca="1" si="17"/>
        <v>4438.1854108592906</v>
      </c>
    </row>
    <row r="27" spans="1:17" s="451" customFormat="1">
      <c r="A27" s="449" t="s">
        <v>564</v>
      </c>
      <c r="B27" s="749">
        <f t="shared" ca="1" si="2"/>
        <v>4.6755601805006171</v>
      </c>
      <c r="C27" s="450">
        <f t="shared" ca="1" si="3"/>
        <v>0</v>
      </c>
      <c r="D27" s="450">
        <f t="shared" si="4"/>
        <v>7.7880565824563632</v>
      </c>
      <c r="E27" s="450">
        <f t="shared" si="5"/>
        <v>84.414803502037188</v>
      </c>
      <c r="F27" s="450">
        <f t="shared" si="6"/>
        <v>0</v>
      </c>
      <c r="G27" s="450">
        <f t="shared" si="7"/>
        <v>31676.739734097922</v>
      </c>
      <c r="H27" s="450">
        <f t="shared" si="8"/>
        <v>5497.7266733065135</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37271.344827669433</v>
      </c>
    </row>
    <row r="28" spans="1:17">
      <c r="A28" s="445" t="s">
        <v>554</v>
      </c>
      <c r="B28" s="446">
        <f t="shared" ca="1" si="2"/>
        <v>2.0587409837034465</v>
      </c>
      <c r="C28" s="446">
        <f t="shared" ca="1" si="3"/>
        <v>0</v>
      </c>
      <c r="D28" s="446">
        <f t="shared" si="4"/>
        <v>0</v>
      </c>
      <c r="E28" s="446">
        <f t="shared" si="5"/>
        <v>0</v>
      </c>
      <c r="F28" s="446">
        <f t="shared" si="6"/>
        <v>0</v>
      </c>
      <c r="G28" s="446">
        <f t="shared" si="7"/>
        <v>503.30432590087219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505.36306688457563</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409.84131306819035</v>
      </c>
      <c r="C32" s="446">
        <f t="shared" ca="1" si="3"/>
        <v>0</v>
      </c>
      <c r="D32" s="446">
        <f t="shared" si="4"/>
        <v>971.12400262526376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1380.9653156934542</v>
      </c>
    </row>
    <row r="33" spans="1:17" s="455" customFormat="1">
      <c r="A33" s="1011" t="s">
        <v>558</v>
      </c>
      <c r="B33" s="951">
        <f ca="1">SUM(B22:B32)</f>
        <v>22508.956084758225</v>
      </c>
      <c r="C33" s="951">
        <f t="shared" ref="C33:Q33" ca="1" si="18">SUM(C22:C32)</f>
        <v>0</v>
      </c>
      <c r="D33" s="951">
        <f t="shared" ca="1" si="18"/>
        <v>30343.178270201821</v>
      </c>
      <c r="E33" s="951">
        <f t="shared" si="18"/>
        <v>1098.3541944982437</v>
      </c>
      <c r="F33" s="951">
        <f t="shared" ca="1" si="18"/>
        <v>30782.923020844108</v>
      </c>
      <c r="G33" s="951">
        <f t="shared" si="18"/>
        <v>32180.044059998796</v>
      </c>
      <c r="H33" s="951">
        <f t="shared" si="18"/>
        <v>5497.7266733065135</v>
      </c>
      <c r="I33" s="951">
        <f t="shared" si="18"/>
        <v>0</v>
      </c>
      <c r="J33" s="951">
        <f t="shared" si="18"/>
        <v>927.56696149799268</v>
      </c>
      <c r="K33" s="951">
        <f t="shared" si="18"/>
        <v>0</v>
      </c>
      <c r="L33" s="951">
        <f t="shared" ca="1" si="18"/>
        <v>0</v>
      </c>
      <c r="M33" s="951">
        <f t="shared" si="18"/>
        <v>0</v>
      </c>
      <c r="N33" s="951">
        <f t="shared" ca="1" si="18"/>
        <v>0</v>
      </c>
      <c r="O33" s="951">
        <f t="shared" si="18"/>
        <v>0</v>
      </c>
      <c r="P33" s="951">
        <f t="shared" si="18"/>
        <v>0</v>
      </c>
      <c r="Q33" s="951">
        <f t="shared" ca="1" si="18"/>
        <v>123338.74926510571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6915.7491788210136</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6915.7491788210136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0.20694802283984573</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0</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0.20694802283984573</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0</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0</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0.20694802283984573</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0.20694802283984573</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14040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4189</v>
      </c>
      <c r="C14" s="324"/>
      <c r="D14" s="324"/>
      <c r="E14" s="324"/>
      <c r="F14" s="324"/>
    </row>
    <row r="15" spans="1:6">
      <c r="A15" s="1304" t="s">
        <v>183</v>
      </c>
      <c r="B15" s="1305">
        <v>33</v>
      </c>
      <c r="C15" s="324"/>
      <c r="D15" s="324"/>
      <c r="E15" s="324"/>
      <c r="F15" s="324"/>
    </row>
    <row r="16" spans="1:6">
      <c r="A16" s="1304" t="s">
        <v>6</v>
      </c>
      <c r="B16" s="1305">
        <v>1664</v>
      </c>
      <c r="C16" s="324"/>
      <c r="D16" s="324"/>
      <c r="E16" s="324"/>
      <c r="F16" s="324"/>
    </row>
    <row r="17" spans="1:6">
      <c r="A17" s="1304" t="s">
        <v>7</v>
      </c>
      <c r="B17" s="1305">
        <v>962</v>
      </c>
      <c r="C17" s="324"/>
      <c r="D17" s="324"/>
      <c r="E17" s="324"/>
      <c r="F17" s="324"/>
    </row>
    <row r="18" spans="1:6">
      <c r="A18" s="1304" t="s">
        <v>8</v>
      </c>
      <c r="B18" s="1305">
        <v>1748</v>
      </c>
      <c r="C18" s="324"/>
      <c r="D18" s="324"/>
      <c r="E18" s="324"/>
      <c r="F18" s="324"/>
    </row>
    <row r="19" spans="1:6">
      <c r="A19" s="1304" t="s">
        <v>9</v>
      </c>
      <c r="B19" s="1305">
        <v>1667</v>
      </c>
      <c r="C19" s="324"/>
      <c r="D19" s="324"/>
      <c r="E19" s="324"/>
      <c r="F19" s="324"/>
    </row>
    <row r="20" spans="1:6">
      <c r="A20" s="1304" t="s">
        <v>10</v>
      </c>
      <c r="B20" s="1305">
        <v>1517</v>
      </c>
      <c r="C20" s="324"/>
      <c r="D20" s="324"/>
      <c r="E20" s="324"/>
      <c r="F20" s="324"/>
    </row>
    <row r="21" spans="1:6">
      <c r="A21" s="1304" t="s">
        <v>11</v>
      </c>
      <c r="B21" s="1305">
        <v>1385</v>
      </c>
      <c r="C21" s="324"/>
      <c r="D21" s="324"/>
      <c r="E21" s="324"/>
      <c r="F21" s="324"/>
    </row>
    <row r="22" spans="1:6">
      <c r="A22" s="1304" t="s">
        <v>12</v>
      </c>
      <c r="B22" s="1305">
        <v>3814</v>
      </c>
      <c r="C22" s="324"/>
      <c r="D22" s="324"/>
      <c r="E22" s="324"/>
      <c r="F22" s="324"/>
    </row>
    <row r="23" spans="1:6">
      <c r="A23" s="1304" t="s">
        <v>13</v>
      </c>
      <c r="B23" s="1305">
        <v>54</v>
      </c>
      <c r="C23" s="324"/>
      <c r="D23" s="324"/>
      <c r="E23" s="324"/>
      <c r="F23" s="324"/>
    </row>
    <row r="24" spans="1:6">
      <c r="A24" s="1304" t="s">
        <v>14</v>
      </c>
      <c r="B24" s="1305">
        <v>4</v>
      </c>
      <c r="C24" s="324"/>
      <c r="D24" s="324"/>
      <c r="E24" s="324"/>
      <c r="F24" s="324"/>
    </row>
    <row r="25" spans="1:6">
      <c r="A25" s="1304" t="s">
        <v>15</v>
      </c>
      <c r="B25" s="1305">
        <v>404</v>
      </c>
      <c r="C25" s="324"/>
      <c r="D25" s="324"/>
      <c r="E25" s="324"/>
      <c r="F25" s="324"/>
    </row>
    <row r="26" spans="1:6">
      <c r="A26" s="1304" t="s">
        <v>16</v>
      </c>
      <c r="B26" s="1305">
        <v>347</v>
      </c>
      <c r="C26" s="324"/>
      <c r="D26" s="324"/>
      <c r="E26" s="324"/>
      <c r="F26" s="324"/>
    </row>
    <row r="27" spans="1:6">
      <c r="A27" s="1304" t="s">
        <v>17</v>
      </c>
      <c r="B27" s="1305">
        <v>28</v>
      </c>
      <c r="C27" s="324"/>
      <c r="D27" s="324"/>
      <c r="E27" s="324"/>
      <c r="F27" s="324"/>
    </row>
    <row r="28" spans="1:6" s="43" customFormat="1">
      <c r="A28" s="1306" t="s">
        <v>18</v>
      </c>
      <c r="B28" s="1307">
        <v>12378</v>
      </c>
      <c r="C28" s="330"/>
      <c r="D28" s="330"/>
      <c r="E28" s="330"/>
      <c r="F28" s="330"/>
    </row>
    <row r="29" spans="1:6">
      <c r="A29" s="1306" t="s">
        <v>924</v>
      </c>
      <c r="B29" s="1307">
        <v>129</v>
      </c>
      <c r="C29" s="330"/>
      <c r="D29" s="330"/>
      <c r="E29" s="330"/>
      <c r="F29" s="330"/>
    </row>
    <row r="30" spans="1:6">
      <c r="A30" s="1299" t="s">
        <v>925</v>
      </c>
      <c r="B30" s="1308">
        <v>14</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0</v>
      </c>
      <c r="D38" s="1305">
        <v>0</v>
      </c>
      <c r="E38" s="1305">
        <v>6</v>
      </c>
      <c r="F38" s="1305">
        <v>40264.589999999997</v>
      </c>
    </row>
    <row r="39" spans="1:6">
      <c r="A39" s="1304" t="s">
        <v>29</v>
      </c>
      <c r="B39" s="1304" t="s">
        <v>30</v>
      </c>
      <c r="C39" s="1305">
        <v>8028</v>
      </c>
      <c r="D39" s="1305">
        <v>111983423.404751</v>
      </c>
      <c r="E39" s="1305">
        <v>13902</v>
      </c>
      <c r="F39" s="1305">
        <v>55994714</v>
      </c>
    </row>
    <row r="40" spans="1:6">
      <c r="A40" s="1304" t="s">
        <v>29</v>
      </c>
      <c r="B40" s="1304" t="s">
        <v>28</v>
      </c>
      <c r="C40" s="1305">
        <v>0</v>
      </c>
      <c r="D40" s="1305">
        <v>0</v>
      </c>
      <c r="E40" s="1305">
        <v>0</v>
      </c>
      <c r="F40" s="1305">
        <v>0</v>
      </c>
    </row>
    <row r="41" spans="1:6">
      <c r="A41" s="1304" t="s">
        <v>31</v>
      </c>
      <c r="B41" s="1304" t="s">
        <v>32</v>
      </c>
      <c r="C41" s="1305">
        <v>71</v>
      </c>
      <c r="D41" s="1305">
        <v>2341084.8766268799</v>
      </c>
      <c r="E41" s="1305">
        <v>202</v>
      </c>
      <c r="F41" s="1305">
        <v>2328784</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0</v>
      </c>
      <c r="D44" s="1305">
        <v>0</v>
      </c>
      <c r="E44" s="1305">
        <v>20</v>
      </c>
      <c r="F44" s="1305">
        <v>619041.9</v>
      </c>
    </row>
    <row r="45" spans="1:6">
      <c r="A45" s="1304" t="s">
        <v>31</v>
      </c>
      <c r="B45" s="1304" t="s">
        <v>36</v>
      </c>
      <c r="C45" s="1305">
        <v>0</v>
      </c>
      <c r="D45" s="1305">
        <v>0</v>
      </c>
      <c r="E45" s="1305">
        <v>4</v>
      </c>
      <c r="F45" s="1305">
        <v>62711.93</v>
      </c>
    </row>
    <row r="46" spans="1:6">
      <c r="A46" s="1304" t="s">
        <v>31</v>
      </c>
      <c r="B46" s="1304" t="s">
        <v>37</v>
      </c>
      <c r="C46" s="1305">
        <v>0</v>
      </c>
      <c r="D46" s="1305">
        <v>0</v>
      </c>
      <c r="E46" s="1305">
        <v>0</v>
      </c>
      <c r="F46" s="1305">
        <v>0</v>
      </c>
    </row>
    <row r="47" spans="1:6">
      <c r="A47" s="1304" t="s">
        <v>31</v>
      </c>
      <c r="B47" s="1304" t="s">
        <v>38</v>
      </c>
      <c r="C47" s="1305">
        <v>0</v>
      </c>
      <c r="D47" s="1305">
        <v>0</v>
      </c>
      <c r="E47" s="1305">
        <v>0</v>
      </c>
      <c r="F47" s="1305">
        <v>0</v>
      </c>
    </row>
    <row r="48" spans="1:6">
      <c r="A48" s="1304" t="s">
        <v>31</v>
      </c>
      <c r="B48" s="1304" t="s">
        <v>28</v>
      </c>
      <c r="C48" s="1305">
        <v>44</v>
      </c>
      <c r="D48" s="1305">
        <v>4192819.9755040598</v>
      </c>
      <c r="E48" s="1305">
        <v>76</v>
      </c>
      <c r="F48" s="1305">
        <v>3250200</v>
      </c>
    </row>
    <row r="49" spans="1:6">
      <c r="A49" s="1304" t="s">
        <v>31</v>
      </c>
      <c r="B49" s="1304" t="s">
        <v>39</v>
      </c>
      <c r="C49" s="1305">
        <v>0</v>
      </c>
      <c r="D49" s="1305">
        <v>0</v>
      </c>
      <c r="E49" s="1305">
        <v>0</v>
      </c>
      <c r="F49" s="1305">
        <v>0</v>
      </c>
    </row>
    <row r="50" spans="1:6">
      <c r="A50" s="1304" t="s">
        <v>31</v>
      </c>
      <c r="B50" s="1304" t="s">
        <v>40</v>
      </c>
      <c r="C50" s="1305">
        <v>19</v>
      </c>
      <c r="D50" s="1305">
        <v>800669.51274600194</v>
      </c>
      <c r="E50" s="1305">
        <v>38</v>
      </c>
      <c r="F50" s="1305">
        <v>1211250</v>
      </c>
    </row>
    <row r="51" spans="1:6">
      <c r="A51" s="1304" t="s">
        <v>41</v>
      </c>
      <c r="B51" s="1304" t="s">
        <v>42</v>
      </c>
      <c r="C51" s="1305">
        <v>13</v>
      </c>
      <c r="D51" s="1305">
        <v>468174.63522002299</v>
      </c>
      <c r="E51" s="1305">
        <v>94</v>
      </c>
      <c r="F51" s="1305">
        <v>1158133</v>
      </c>
    </row>
    <row r="52" spans="1:6">
      <c r="A52" s="1304" t="s">
        <v>41</v>
      </c>
      <c r="B52" s="1304" t="s">
        <v>28</v>
      </c>
      <c r="C52" s="1305">
        <v>7</v>
      </c>
      <c r="D52" s="1305">
        <v>113836.998574627</v>
      </c>
      <c r="E52" s="1305">
        <v>21</v>
      </c>
      <c r="F52" s="1305">
        <v>275374.90000000002</v>
      </c>
    </row>
    <row r="53" spans="1:6">
      <c r="A53" s="1304" t="s">
        <v>43</v>
      </c>
      <c r="B53" s="1304" t="s">
        <v>44</v>
      </c>
      <c r="C53" s="1305">
        <v>241</v>
      </c>
      <c r="D53" s="1305">
        <v>4807544.5674518002</v>
      </c>
      <c r="E53" s="1305">
        <v>510</v>
      </c>
      <c r="F53" s="1305">
        <v>1980407</v>
      </c>
    </row>
    <row r="54" spans="1:6">
      <c r="A54" s="1304" t="s">
        <v>45</v>
      </c>
      <c r="B54" s="1304" t="s">
        <v>46</v>
      </c>
      <c r="C54" s="1305">
        <v>0</v>
      </c>
      <c r="D54" s="1305">
        <v>0</v>
      </c>
      <c r="E54" s="1305">
        <v>1</v>
      </c>
      <c r="F54" s="1305">
        <v>2132368</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68</v>
      </c>
      <c r="D57" s="1305">
        <v>2977720.0220955401</v>
      </c>
      <c r="E57" s="1305">
        <v>177</v>
      </c>
      <c r="F57" s="1305">
        <v>4382749</v>
      </c>
    </row>
    <row r="58" spans="1:6">
      <c r="A58" s="1304" t="s">
        <v>48</v>
      </c>
      <c r="B58" s="1304" t="s">
        <v>50</v>
      </c>
      <c r="C58" s="1305">
        <v>34</v>
      </c>
      <c r="D58" s="1305">
        <v>1742348.37861877</v>
      </c>
      <c r="E58" s="1305">
        <v>52</v>
      </c>
      <c r="F58" s="1305">
        <v>1013438</v>
      </c>
    </row>
    <row r="59" spans="1:6">
      <c r="A59" s="1304" t="s">
        <v>48</v>
      </c>
      <c r="B59" s="1304" t="s">
        <v>51</v>
      </c>
      <c r="C59" s="1305">
        <v>195</v>
      </c>
      <c r="D59" s="1305">
        <v>6955565.0088075502</v>
      </c>
      <c r="E59" s="1305">
        <v>361</v>
      </c>
      <c r="F59" s="1305">
        <v>11174887</v>
      </c>
    </row>
    <row r="60" spans="1:6">
      <c r="A60" s="1304" t="s">
        <v>48</v>
      </c>
      <c r="B60" s="1304" t="s">
        <v>52</v>
      </c>
      <c r="C60" s="1305">
        <v>112</v>
      </c>
      <c r="D60" s="1305">
        <v>4007177.1160224099</v>
      </c>
      <c r="E60" s="1305">
        <v>185</v>
      </c>
      <c r="F60" s="1305">
        <v>4623298</v>
      </c>
    </row>
    <row r="61" spans="1:6">
      <c r="A61" s="1304" t="s">
        <v>48</v>
      </c>
      <c r="B61" s="1304" t="s">
        <v>53</v>
      </c>
      <c r="C61" s="1305">
        <v>168</v>
      </c>
      <c r="D61" s="1305">
        <v>10723784.669360699</v>
      </c>
      <c r="E61" s="1305">
        <v>357</v>
      </c>
      <c r="F61" s="1305">
        <v>4786588</v>
      </c>
    </row>
    <row r="62" spans="1:6">
      <c r="A62" s="1304" t="s">
        <v>48</v>
      </c>
      <c r="B62" s="1304" t="s">
        <v>54</v>
      </c>
      <c r="C62" s="1305">
        <v>16</v>
      </c>
      <c r="D62" s="1305">
        <v>3022915.4449567199</v>
      </c>
      <c r="E62" s="1305">
        <v>30</v>
      </c>
      <c r="F62" s="1305">
        <v>989682.4</v>
      </c>
    </row>
    <row r="63" spans="1:6">
      <c r="A63" s="1304" t="s">
        <v>48</v>
      </c>
      <c r="B63" s="1304" t="s">
        <v>28</v>
      </c>
      <c r="C63" s="1305">
        <v>134</v>
      </c>
      <c r="D63" s="1305">
        <v>11831959.4576822</v>
      </c>
      <c r="E63" s="1305">
        <v>159</v>
      </c>
      <c r="F63" s="1305">
        <v>7779846</v>
      </c>
    </row>
    <row r="64" spans="1:6">
      <c r="A64" s="1304" t="s">
        <v>55</v>
      </c>
      <c r="B64" s="1304" t="s">
        <v>56</v>
      </c>
      <c r="C64" s="1305">
        <v>0</v>
      </c>
      <c r="D64" s="1305">
        <v>0</v>
      </c>
      <c r="E64" s="1305">
        <v>0</v>
      </c>
      <c r="F64" s="1305">
        <v>0</v>
      </c>
    </row>
    <row r="65" spans="1:6">
      <c r="A65" s="1304" t="s">
        <v>55</v>
      </c>
      <c r="B65" s="1304" t="s">
        <v>28</v>
      </c>
      <c r="C65" s="1305">
        <v>5</v>
      </c>
      <c r="D65" s="1305">
        <v>204269.64556647901</v>
      </c>
      <c r="E65" s="1305">
        <v>5</v>
      </c>
      <c r="F65" s="1305">
        <v>130197</v>
      </c>
    </row>
    <row r="66" spans="1:6">
      <c r="A66" s="1304" t="s">
        <v>55</v>
      </c>
      <c r="B66" s="1304" t="s">
        <v>57</v>
      </c>
      <c r="C66" s="1305">
        <v>3</v>
      </c>
      <c r="D66" s="1305">
        <v>390832.14441841398</v>
      </c>
      <c r="E66" s="1305">
        <v>13</v>
      </c>
      <c r="F66" s="1305">
        <v>489654.4</v>
      </c>
    </row>
    <row r="67" spans="1:6">
      <c r="A67" s="1306" t="s">
        <v>55</v>
      </c>
      <c r="B67" s="1306" t="s">
        <v>58</v>
      </c>
      <c r="C67" s="1305">
        <v>4</v>
      </c>
      <c r="D67" s="1305">
        <v>175800.187172531</v>
      </c>
      <c r="E67" s="1305">
        <v>103</v>
      </c>
      <c r="F67" s="1305">
        <v>750693.4</v>
      </c>
    </row>
    <row r="68" spans="1:6">
      <c r="A68" s="1299" t="s">
        <v>55</v>
      </c>
      <c r="B68" s="1299" t="s">
        <v>59</v>
      </c>
      <c r="C68" s="1308">
        <v>3</v>
      </c>
      <c r="D68" s="1308">
        <v>74080.021062575106</v>
      </c>
      <c r="E68" s="1308">
        <v>12</v>
      </c>
      <c r="F68" s="1308">
        <v>72773.789999999994</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108153069</v>
      </c>
      <c r="E73" s="444"/>
      <c r="F73" s="324"/>
    </row>
    <row r="74" spans="1:6">
      <c r="A74" s="1304" t="s">
        <v>63</v>
      </c>
      <c r="B74" s="1304" t="s">
        <v>701</v>
      </c>
      <c r="C74" s="1318" t="s">
        <v>703</v>
      </c>
      <c r="D74" s="1319">
        <v>12377109.910193693</v>
      </c>
      <c r="E74" s="444"/>
      <c r="F74" s="324"/>
    </row>
    <row r="75" spans="1:6">
      <c r="A75" s="1304" t="s">
        <v>64</v>
      </c>
      <c r="B75" s="1304" t="s">
        <v>700</v>
      </c>
      <c r="C75" s="1318" t="s">
        <v>704</v>
      </c>
      <c r="D75" s="1319">
        <v>51072040</v>
      </c>
      <c r="E75" s="444"/>
      <c r="F75" s="324"/>
    </row>
    <row r="76" spans="1:6">
      <c r="A76" s="1304" t="s">
        <v>64</v>
      </c>
      <c r="B76" s="1304" t="s">
        <v>701</v>
      </c>
      <c r="C76" s="1318" t="s">
        <v>705</v>
      </c>
      <c r="D76" s="1319">
        <v>1217533.9101936929</v>
      </c>
      <c r="E76" s="444"/>
      <c r="F76" s="324"/>
    </row>
    <row r="77" spans="1:6">
      <c r="A77" s="1304" t="s">
        <v>65</v>
      </c>
      <c r="B77" s="1304" t="s">
        <v>700</v>
      </c>
      <c r="C77" s="1318" t="s">
        <v>706</v>
      </c>
      <c r="D77" s="1319">
        <v>0</v>
      </c>
      <c r="E77" s="444"/>
      <c r="F77" s="324"/>
    </row>
    <row r="78" spans="1:6">
      <c r="A78" s="1299" t="s">
        <v>65</v>
      </c>
      <c r="B78" s="1299" t="s">
        <v>701</v>
      </c>
      <c r="C78" s="1299" t="s">
        <v>707</v>
      </c>
      <c r="D78" s="1320">
        <v>0</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538106.17961261445</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4970.2150435187332</v>
      </c>
      <c r="C91" s="324"/>
      <c r="D91" s="324"/>
      <c r="E91" s="324"/>
      <c r="F91" s="324"/>
    </row>
    <row r="92" spans="1:6">
      <c r="A92" s="1299" t="s">
        <v>68</v>
      </c>
      <c r="B92" s="1300">
        <v>1945.5341353022807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4938</v>
      </c>
      <c r="C97" s="324"/>
      <c r="D97" s="324"/>
      <c r="E97" s="324"/>
      <c r="F97" s="324"/>
    </row>
    <row r="98" spans="1:6">
      <c r="A98" s="1304" t="s">
        <v>71</v>
      </c>
      <c r="B98" s="1305">
        <v>2</v>
      </c>
      <c r="C98" s="324"/>
      <c r="D98" s="324"/>
      <c r="E98" s="324"/>
      <c r="F98" s="324"/>
    </row>
    <row r="99" spans="1:6">
      <c r="A99" s="1304" t="s">
        <v>72</v>
      </c>
      <c r="B99" s="1305">
        <v>288</v>
      </c>
      <c r="C99" s="324"/>
      <c r="D99" s="324"/>
      <c r="E99" s="324"/>
      <c r="F99" s="324"/>
    </row>
    <row r="100" spans="1:6">
      <c r="A100" s="1304" t="s">
        <v>73</v>
      </c>
      <c r="B100" s="1305">
        <v>1062</v>
      </c>
      <c r="C100" s="324"/>
      <c r="D100" s="324"/>
      <c r="E100" s="324"/>
      <c r="F100" s="324"/>
    </row>
    <row r="101" spans="1:6">
      <c r="A101" s="1304" t="s">
        <v>74</v>
      </c>
      <c r="B101" s="1305">
        <v>192</v>
      </c>
      <c r="C101" s="324"/>
      <c r="D101" s="324"/>
      <c r="E101" s="324"/>
      <c r="F101" s="324"/>
    </row>
    <row r="102" spans="1:6">
      <c r="A102" s="1304" t="s">
        <v>75</v>
      </c>
      <c r="B102" s="1305">
        <v>251</v>
      </c>
      <c r="C102" s="324"/>
      <c r="D102" s="324"/>
      <c r="E102" s="324"/>
      <c r="F102" s="324"/>
    </row>
    <row r="103" spans="1:6">
      <c r="A103" s="1304" t="s">
        <v>76</v>
      </c>
      <c r="B103" s="1305">
        <v>406</v>
      </c>
      <c r="C103" s="324"/>
      <c r="D103" s="324"/>
      <c r="E103" s="324"/>
      <c r="F103" s="324"/>
    </row>
    <row r="104" spans="1:6">
      <c r="A104" s="1304" t="s">
        <v>77</v>
      </c>
      <c r="B104" s="1305">
        <v>5242</v>
      </c>
      <c r="C104" s="324"/>
      <c r="D104" s="324"/>
      <c r="E104" s="324"/>
      <c r="F104" s="324"/>
    </row>
    <row r="105" spans="1:6">
      <c r="A105" s="1299" t="s">
        <v>78</v>
      </c>
      <c r="B105" s="1308">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0</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22</v>
      </c>
      <c r="C123" s="1305">
        <v>14</v>
      </c>
      <c r="D123" s="324"/>
      <c r="E123" s="324"/>
      <c r="F123" s="324"/>
    </row>
    <row r="124" spans="1:6" s="43" customFormat="1">
      <c r="A124" s="1306" t="s">
        <v>88</v>
      </c>
      <c r="B124" s="1327">
        <v>0</v>
      </c>
      <c r="C124" s="1327">
        <v>1</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142</v>
      </c>
      <c r="C129" s="324"/>
      <c r="D129" s="324"/>
      <c r="E129" s="324"/>
      <c r="F129" s="324"/>
    </row>
    <row r="130" spans="1:6">
      <c r="A130" s="1304" t="s">
        <v>290</v>
      </c>
      <c r="B130" s="1305">
        <v>2</v>
      </c>
      <c r="C130" s="324"/>
      <c r="D130" s="324"/>
      <c r="E130" s="324"/>
      <c r="F130" s="324"/>
    </row>
    <row r="131" spans="1:6">
      <c r="A131" s="1304" t="s">
        <v>291</v>
      </c>
      <c r="B131" s="1305">
        <v>0</v>
      </c>
      <c r="C131" s="324"/>
      <c r="D131" s="324"/>
      <c r="E131" s="324"/>
      <c r="F131" s="324"/>
    </row>
    <row r="132" spans="1:6">
      <c r="A132" s="1299" t="s">
        <v>292</v>
      </c>
      <c r="B132" s="1300">
        <v>24</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108766.22920035144</v>
      </c>
      <c r="C3" s="43" t="s">
        <v>169</v>
      </c>
      <c r="D3" s="43"/>
      <c r="E3" s="154"/>
      <c r="F3" s="43"/>
      <c r="G3" s="43"/>
      <c r="H3" s="43"/>
      <c r="I3" s="43"/>
      <c r="J3" s="43"/>
      <c r="K3" s="96"/>
    </row>
    <row r="4" spans="1:11">
      <c r="A4" s="353" t="s">
        <v>170</v>
      </c>
      <c r="B4" s="49">
        <f>IF(ISERROR('SEAP template'!B78+'SEAP template'!C78),0,'SEAP template'!B78+'SEAP template'!C78)</f>
        <v>6915.7491788210136</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0.20694802283984573</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0</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2132.3679999999999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2132.3679999999999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0.20694802283984573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441.28934156695613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55994.714</v>
      </c>
      <c r="C5" s="17">
        <f>IF(ISERROR('Eigen informatie GS &amp; warmtenet'!B57),0,'Eigen informatie GS &amp; warmtenet'!B57)</f>
        <v>0</v>
      </c>
      <c r="D5" s="30">
        <f>(SUM(HH_hh_gas_kWh,HH_rest_gas_kWh)/1000)*0.902</f>
        <v>101009.04791108541</v>
      </c>
      <c r="E5" s="17">
        <f>B32*B41</f>
        <v>3204.8995940570048</v>
      </c>
      <c r="F5" s="17">
        <f>B36*B45</f>
        <v>101104.58352980571</v>
      </c>
      <c r="G5" s="18"/>
      <c r="H5" s="17"/>
      <c r="I5" s="17"/>
      <c r="J5" s="17">
        <f>B35*B44+C35*C44</f>
        <v>2357.755068546609</v>
      </c>
      <c r="K5" s="17"/>
      <c r="L5" s="17"/>
      <c r="M5" s="17"/>
      <c r="N5" s="17">
        <f>B34*B43+C34*C43</f>
        <v>16455.291117334204</v>
      </c>
      <c r="O5" s="17">
        <f>B52*B53*B54</f>
        <v>245.44333333333333</v>
      </c>
      <c r="P5" s="17">
        <f>B60*B61*B62/1000-B60*B61*B62/1000/B63</f>
        <v>877.06666666666661</v>
      </c>
    </row>
    <row r="6" spans="1:16">
      <c r="A6" s="16" t="s">
        <v>624</v>
      </c>
      <c r="B6" s="757">
        <f>kWh_PV_kleiner_dan_10kW</f>
        <v>4970.2150435187332</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60964.929043518736</v>
      </c>
      <c r="C8" s="21">
        <f>C5</f>
        <v>0</v>
      </c>
      <c r="D8" s="21">
        <f>D5</f>
        <v>101009.04791108541</v>
      </c>
      <c r="E8" s="21">
        <f>E5</f>
        <v>3204.8995940570048</v>
      </c>
      <c r="F8" s="21">
        <f>F5</f>
        <v>101104.58352980571</v>
      </c>
      <c r="G8" s="21"/>
      <c r="H8" s="21"/>
      <c r="I8" s="21"/>
      <c r="J8" s="21">
        <f>J5</f>
        <v>2357.755068546609</v>
      </c>
      <c r="K8" s="21"/>
      <c r="L8" s="21">
        <f>L5</f>
        <v>0</v>
      </c>
      <c r="M8" s="21">
        <f>M5</f>
        <v>0</v>
      </c>
      <c r="N8" s="21">
        <f>N5</f>
        <v>16455.291117334204</v>
      </c>
      <c r="O8" s="21">
        <f>O5</f>
        <v>245.44333333333333</v>
      </c>
      <c r="P8" s="21">
        <f>P5</f>
        <v>877.06666666666661</v>
      </c>
    </row>
    <row r="9" spans="1:16">
      <c r="B9" s="19"/>
      <c r="C9" s="19"/>
      <c r="D9" s="254"/>
      <c r="E9" s="19"/>
      <c r="F9" s="19"/>
      <c r="G9" s="19"/>
      <c r="H9" s="19"/>
      <c r="I9" s="19"/>
      <c r="J9" s="19"/>
      <c r="K9" s="19"/>
      <c r="L9" s="19"/>
      <c r="M9" s="19"/>
      <c r="N9" s="19"/>
      <c r="O9" s="19"/>
      <c r="P9" s="19"/>
    </row>
    <row r="10" spans="1:16">
      <c r="A10" s="24" t="s">
        <v>213</v>
      </c>
      <c r="B10" s="25">
        <f ca="1">'EF ele_warmte'!B12</f>
        <v>0.20694802283984573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12616.57152812769</v>
      </c>
      <c r="C12" s="23">
        <f ca="1">C10*C8</f>
        <v>0</v>
      </c>
      <c r="D12" s="23">
        <f>D8*D10</f>
        <v>20403.827678039255</v>
      </c>
      <c r="E12" s="23">
        <f>E10*E8</f>
        <v>727.51220785094017</v>
      </c>
      <c r="F12" s="23">
        <f>F10*F8</f>
        <v>26994.923802458125</v>
      </c>
      <c r="G12" s="23"/>
      <c r="H12" s="23"/>
      <c r="I12" s="23"/>
      <c r="J12" s="23">
        <f>J10*J8</f>
        <v>834.6452942654995</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14040</v>
      </c>
      <c r="C26" s="36"/>
      <c r="D26" s="225"/>
    </row>
    <row r="27" spans="1:5" s="15" customFormat="1">
      <c r="A27" s="227" t="s">
        <v>727</v>
      </c>
      <c r="B27" s="37">
        <f>SUM(HH_hh_gas_aantal,HH_rest_gas_aantal)</f>
        <v>8028</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7626.6</v>
      </c>
      <c r="C31" s="34" t="s">
        <v>110</v>
      </c>
      <c r="D31" s="171"/>
    </row>
    <row r="32" spans="1:5">
      <c r="A32" s="168" t="s">
        <v>72</v>
      </c>
      <c r="B32" s="33">
        <f>IF((B21*($B$26-($B$27-0.05*$B$27)-$B$60))&lt;0,0,B21*($B$26-($B$27-0.05*$B$27)-$B$60))</f>
        <v>40.147860690812983</v>
      </c>
      <c r="C32" s="34" t="s">
        <v>110</v>
      </c>
      <c r="D32" s="171"/>
    </row>
    <row r="33" spans="1:6">
      <c r="A33" s="168" t="s">
        <v>73</v>
      </c>
      <c r="B33" s="33">
        <f>IF((B22*($B$26-($B$27-0.05*$B$27)-$B$60))&lt;0,0,B22*($B$26-($B$27-0.05*$B$27)-$B$60))</f>
        <v>1398.0943549698138</v>
      </c>
      <c r="C33" s="34" t="s">
        <v>110</v>
      </c>
      <c r="D33" s="171"/>
    </row>
    <row r="34" spans="1:6">
      <c r="A34" s="168" t="s">
        <v>74</v>
      </c>
      <c r="B34" s="33">
        <f>IF((B24*($B$26-($B$27-0.05*$B$27)-$B$60))&lt;0,0,B24*($B$26-($B$27-0.05*$B$27)-$B$60))</f>
        <v>277.51554439598505</v>
      </c>
      <c r="C34" s="33">
        <f>B26*C24</f>
        <v>2872.5795412399657</v>
      </c>
      <c r="D34" s="230"/>
    </row>
    <row r="35" spans="1:6">
      <c r="A35" s="168" t="s">
        <v>76</v>
      </c>
      <c r="B35" s="33">
        <f>IF((B19*($B$26-($B$27-0.05*$B$27)-$B$60))&lt;0,0,B19*($B$26-($B$27-0.05*$B$27)-$B$60))</f>
        <v>135.5821256294615</v>
      </c>
      <c r="C35" s="33">
        <f>B35/2</f>
        <v>67.791062814730751</v>
      </c>
      <c r="D35" s="230"/>
    </row>
    <row r="36" spans="1:6">
      <c r="A36" s="168" t="s">
        <v>77</v>
      </c>
      <c r="B36" s="33">
        <f>IF((B18*($B$26-($B$27-0.05*$B$27)-$B$60))&lt;0,0,B18*($B$26-($B$27-0.05*$B$27)-$B$60))</f>
        <v>4516.0601143139284</v>
      </c>
      <c r="C36" s="34" t="s">
        <v>110</v>
      </c>
      <c r="D36" s="171"/>
    </row>
    <row r="37" spans="1:6">
      <c r="A37" s="168" t="s">
        <v>78</v>
      </c>
      <c r="B37" s="33">
        <f>B60</f>
        <v>46</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157</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46</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34750.488400000002</v>
      </c>
      <c r="C5" s="17">
        <f>IF(ISERROR('Eigen informatie GS &amp; warmtenet'!B58),0,'Eigen informatie GS &amp; warmtenet'!B58)</f>
        <v>0</v>
      </c>
      <c r="D5" s="30">
        <f>SUM(D6:D12)</f>
        <v>37217.846027984589</v>
      </c>
      <c r="E5" s="17">
        <f>SUM(E6:E12)</f>
        <v>414.81773502800297</v>
      </c>
      <c r="F5" s="17">
        <f>SUM(F6:F12)</f>
        <v>5489.8361823763744</v>
      </c>
      <c r="G5" s="18"/>
      <c r="H5" s="17"/>
      <c r="I5" s="17"/>
      <c r="J5" s="17">
        <f>SUM(J6:J12)</f>
        <v>0</v>
      </c>
      <c r="K5" s="17"/>
      <c r="L5" s="17"/>
      <c r="M5" s="17"/>
      <c r="N5" s="17">
        <f>SUM(N6:N12)</f>
        <v>3899.673458099146</v>
      </c>
      <c r="O5" s="17">
        <f>B38*B39*B40</f>
        <v>3.1266666666666669</v>
      </c>
      <c r="P5" s="17">
        <f>B46*B47*B48/1000-B46*B47*B48/1000/B49</f>
        <v>0</v>
      </c>
      <c r="R5" s="32"/>
    </row>
    <row r="6" spans="1:18">
      <c r="A6" s="32" t="s">
        <v>53</v>
      </c>
      <c r="B6" s="37">
        <f>B26</f>
        <v>4786.5879999999997</v>
      </c>
      <c r="C6" s="33"/>
      <c r="D6" s="37">
        <f>IF(ISERROR(TER_kantoor_gas_kWh/1000),0,TER_kantoor_gas_kWh/1000)*0.902</f>
        <v>9672.8537717633499</v>
      </c>
      <c r="E6" s="33">
        <f>$C$26*'E Balans VL '!I12/100/3.6*1000000</f>
        <v>13.86744772803941</v>
      </c>
      <c r="F6" s="33">
        <f>$C$26*('E Balans VL '!L12+'E Balans VL '!N12)/100/3.6*1000000</f>
        <v>541.73630489005393</v>
      </c>
      <c r="G6" s="34"/>
      <c r="H6" s="33"/>
      <c r="I6" s="33"/>
      <c r="J6" s="33">
        <f>$C$26*('E Balans VL '!D12+'E Balans VL '!E12)/100/3.6*1000000</f>
        <v>0</v>
      </c>
      <c r="K6" s="33"/>
      <c r="L6" s="33"/>
      <c r="M6" s="33"/>
      <c r="N6" s="33">
        <f>$C$26*'E Balans VL '!Y12/100/3.6*1000000</f>
        <v>47.910218964489168</v>
      </c>
      <c r="O6" s="33"/>
      <c r="P6" s="33"/>
      <c r="R6" s="32"/>
    </row>
    <row r="7" spans="1:18">
      <c r="A7" s="32" t="s">
        <v>52</v>
      </c>
      <c r="B7" s="37">
        <f t="shared" ref="B7:B12" si="0">B27</f>
        <v>4623.2979999999998</v>
      </c>
      <c r="C7" s="33"/>
      <c r="D7" s="37">
        <f>IF(ISERROR(TER_horeca_gas_kWh/1000),0,TER_horeca_gas_kWh/1000)*0.902</f>
        <v>3614.4737586522137</v>
      </c>
      <c r="E7" s="33">
        <f>$C$27*'E Balans VL '!I9/100/3.6*1000000</f>
        <v>194.0731328006822</v>
      </c>
      <c r="F7" s="33">
        <f>$C$27*('E Balans VL '!L9+'E Balans VL '!N9)/100/3.6*1000000</f>
        <v>993.41038495494263</v>
      </c>
      <c r="G7" s="34"/>
      <c r="H7" s="33"/>
      <c r="I7" s="33"/>
      <c r="J7" s="33">
        <f>$C$27*('E Balans VL '!D9+'E Balans VL '!E9)/100/3.6*1000000</f>
        <v>0</v>
      </c>
      <c r="K7" s="33"/>
      <c r="L7" s="33"/>
      <c r="M7" s="33"/>
      <c r="N7" s="33">
        <f>$C$27*'E Balans VL '!Y9/100/3.6*1000000</f>
        <v>1.1913834623922184</v>
      </c>
      <c r="O7" s="33"/>
      <c r="P7" s="33"/>
      <c r="R7" s="32"/>
    </row>
    <row r="8" spans="1:18">
      <c r="A8" s="6" t="s">
        <v>51</v>
      </c>
      <c r="B8" s="37">
        <f t="shared" si="0"/>
        <v>11174.887000000001</v>
      </c>
      <c r="C8" s="33"/>
      <c r="D8" s="37">
        <f>IF(ISERROR(TER_handel_gas_kWh/1000),0,TER_handel_gas_kWh/1000)*0.902</f>
        <v>6273.9196379444102</v>
      </c>
      <c r="E8" s="33">
        <f>$C$28*'E Balans VL '!I13/100/3.6*1000000</f>
        <v>120.02758697406591</v>
      </c>
      <c r="F8" s="33">
        <f>$C$28*('E Balans VL '!L13+'E Balans VL '!N13)/100/3.6*1000000</f>
        <v>1446.6814024645064</v>
      </c>
      <c r="G8" s="34"/>
      <c r="H8" s="33"/>
      <c r="I8" s="33"/>
      <c r="J8" s="33">
        <f>$C$28*('E Balans VL '!D13+'E Balans VL '!E13)/100/3.6*1000000</f>
        <v>0</v>
      </c>
      <c r="K8" s="33"/>
      <c r="L8" s="33"/>
      <c r="M8" s="33"/>
      <c r="N8" s="33">
        <f>$C$28*'E Balans VL '!Y13/100/3.6*1000000</f>
        <v>90.651293519360337</v>
      </c>
      <c r="O8" s="33"/>
      <c r="P8" s="33"/>
      <c r="R8" s="32"/>
    </row>
    <row r="9" spans="1:18">
      <c r="A9" s="32" t="s">
        <v>50</v>
      </c>
      <c r="B9" s="37">
        <f t="shared" si="0"/>
        <v>1013.438</v>
      </c>
      <c r="C9" s="33"/>
      <c r="D9" s="37">
        <f>IF(ISERROR(TER_gezond_gas_kWh/1000),0,TER_gezond_gas_kWh/1000)*0.902</f>
        <v>1571.5982375141307</v>
      </c>
      <c r="E9" s="33">
        <f>$C$29*'E Balans VL '!I10/100/3.6*1000000</f>
        <v>0.80676219541377292</v>
      </c>
      <c r="F9" s="33">
        <f>$C$29*('E Balans VL '!L10+'E Balans VL '!N10)/100/3.6*1000000</f>
        <v>123.19803439822594</v>
      </c>
      <c r="G9" s="34"/>
      <c r="H9" s="33"/>
      <c r="I9" s="33"/>
      <c r="J9" s="33">
        <f>$C$29*('E Balans VL '!D10+'E Balans VL '!E10)/100/3.6*1000000</f>
        <v>0</v>
      </c>
      <c r="K9" s="33"/>
      <c r="L9" s="33"/>
      <c r="M9" s="33"/>
      <c r="N9" s="33">
        <f>$C$29*'E Balans VL '!Y10/100/3.6*1000000</f>
        <v>8.1862836712428688</v>
      </c>
      <c r="O9" s="33"/>
      <c r="P9" s="33"/>
      <c r="R9" s="32"/>
    </row>
    <row r="10" spans="1:18">
      <c r="A10" s="32" t="s">
        <v>49</v>
      </c>
      <c r="B10" s="37">
        <f t="shared" si="0"/>
        <v>4382.7489999999998</v>
      </c>
      <c r="C10" s="33"/>
      <c r="D10" s="37">
        <f>IF(ISERROR(TER_ander_gas_kWh/1000),0,TER_ander_gas_kWh/1000)*0.902</f>
        <v>2685.9034599301772</v>
      </c>
      <c r="E10" s="33">
        <f>$C$30*'E Balans VL '!I14/100/3.6*1000000</f>
        <v>15.019911063118906</v>
      </c>
      <c r="F10" s="33">
        <f>$C$30*('E Balans VL '!L14+'E Balans VL '!N14)/100/3.6*1000000</f>
        <v>978.92803265948294</v>
      </c>
      <c r="G10" s="34"/>
      <c r="H10" s="33"/>
      <c r="I10" s="33"/>
      <c r="J10" s="33">
        <f>$C$30*('E Balans VL '!D14+'E Balans VL '!E14)/100/3.6*1000000</f>
        <v>0</v>
      </c>
      <c r="K10" s="33"/>
      <c r="L10" s="33"/>
      <c r="M10" s="33"/>
      <c r="N10" s="33">
        <f>$C$30*'E Balans VL '!Y14/100/3.6*1000000</f>
        <v>3087.2323380897756</v>
      </c>
      <c r="O10" s="33"/>
      <c r="P10" s="33"/>
      <c r="R10" s="32"/>
    </row>
    <row r="11" spans="1:18">
      <c r="A11" s="32" t="s">
        <v>54</v>
      </c>
      <c r="B11" s="37">
        <f t="shared" si="0"/>
        <v>989.68240000000003</v>
      </c>
      <c r="C11" s="33"/>
      <c r="D11" s="37">
        <f>IF(ISERROR(TER_onderwijs_gas_kWh/1000),0,TER_onderwijs_gas_kWh/1000)*0.902</f>
        <v>2726.6697313509617</v>
      </c>
      <c r="E11" s="33">
        <f>$C$31*'E Balans VL '!I11/100/3.6*1000000</f>
        <v>0.68413696330087959</v>
      </c>
      <c r="F11" s="33">
        <f>$C$31*('E Balans VL '!L11+'E Balans VL '!N11)/100/3.6*1000000</f>
        <v>259.07010399690051</v>
      </c>
      <c r="G11" s="34"/>
      <c r="H11" s="33"/>
      <c r="I11" s="33"/>
      <c r="J11" s="33">
        <f>$C$31*('E Balans VL '!D11+'E Balans VL '!E11)/100/3.6*1000000</f>
        <v>0</v>
      </c>
      <c r="K11" s="33"/>
      <c r="L11" s="33"/>
      <c r="M11" s="33"/>
      <c r="N11" s="33">
        <f>$C$31*'E Balans VL '!Y11/100/3.6*1000000</f>
        <v>0.985144534628841</v>
      </c>
      <c r="O11" s="33"/>
      <c r="P11" s="33"/>
      <c r="R11" s="32"/>
    </row>
    <row r="12" spans="1:18">
      <c r="A12" s="32" t="s">
        <v>255</v>
      </c>
      <c r="B12" s="37">
        <f t="shared" si="0"/>
        <v>7779.8459999999995</v>
      </c>
      <c r="C12" s="33"/>
      <c r="D12" s="37">
        <f>IF(ISERROR(TER_rest_gas_kWh/1000),0,TER_rest_gas_kWh/1000)*0.902</f>
        <v>10672.427430829344</v>
      </c>
      <c r="E12" s="33">
        <f>$C$32*'E Balans VL '!I8/100/3.6*1000000</f>
        <v>70.33875730338184</v>
      </c>
      <c r="F12" s="33">
        <f>$C$32*('E Balans VL '!L8+'E Balans VL '!N8)/100/3.6*1000000</f>
        <v>1146.8119190122616</v>
      </c>
      <c r="G12" s="34"/>
      <c r="H12" s="33"/>
      <c r="I12" s="33"/>
      <c r="J12" s="33">
        <f>$C$32*('E Balans VL '!D8+'E Balans VL '!E8)/100/3.6*1000000</f>
        <v>0</v>
      </c>
      <c r="K12" s="33"/>
      <c r="L12" s="33"/>
      <c r="M12" s="33"/>
      <c r="N12" s="33">
        <f>$C$32*'E Balans VL '!Y8/100/3.6*1000000</f>
        <v>663.51679585725685</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34750.488400000002</v>
      </c>
      <c r="C16" s="21">
        <f t="shared" ca="1" si="1"/>
        <v>0</v>
      </c>
      <c r="D16" s="21">
        <f t="shared" ca="1" si="1"/>
        <v>37217.846027984589</v>
      </c>
      <c r="E16" s="21">
        <f t="shared" si="1"/>
        <v>414.81773502800297</v>
      </c>
      <c r="F16" s="21">
        <f t="shared" ca="1" si="1"/>
        <v>5489.8361823763744</v>
      </c>
      <c r="G16" s="21">
        <f t="shared" si="1"/>
        <v>0</v>
      </c>
      <c r="H16" s="21">
        <f t="shared" si="1"/>
        <v>0</v>
      </c>
      <c r="I16" s="21">
        <f t="shared" si="1"/>
        <v>0</v>
      </c>
      <c r="J16" s="21">
        <f t="shared" si="1"/>
        <v>0</v>
      </c>
      <c r="K16" s="21">
        <f t="shared" si="1"/>
        <v>0</v>
      </c>
      <c r="L16" s="21">
        <f t="shared" ca="1" si="1"/>
        <v>0</v>
      </c>
      <c r="M16" s="21">
        <f t="shared" si="1"/>
        <v>0</v>
      </c>
      <c r="N16" s="21">
        <f t="shared" ca="1" si="1"/>
        <v>3899.673458099146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0.20694802283984573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7191.5448670989945</v>
      </c>
      <c r="C20" s="23">
        <f t="shared" ref="C20:P20" ca="1" si="2">C16*C18</f>
        <v>0</v>
      </c>
      <c r="D20" s="23">
        <f t="shared" ca="1" si="2"/>
        <v>7518.0048976528878</v>
      </c>
      <c r="E20" s="23">
        <f t="shared" si="2"/>
        <v>94.163625851356684</v>
      </c>
      <c r="F20" s="23">
        <f t="shared" ca="1" si="2"/>
        <v>1465.7862606944921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4786.5879999999997</v>
      </c>
      <c r="C26" s="39">
        <f>IF(ISERROR(B26*3.6/1000000/'E Balans VL '!Z12*100),0,B26*3.6/1000000/'E Balans VL '!Z12*100)</f>
        <v>0.10514293926987246</v>
      </c>
      <c r="D26" s="233" t="s">
        <v>682</v>
      </c>
      <c r="F26" s="6"/>
    </row>
    <row r="27" spans="1:18">
      <c r="A27" s="228" t="s">
        <v>52</v>
      </c>
      <c r="B27" s="33">
        <f>IF(ISERROR(TER_horeca_ele_kWh/1000),0,TER_horeca_ele_kWh/1000)</f>
        <v>4623.2979999999998</v>
      </c>
      <c r="C27" s="39">
        <f>IF(ISERROR(B27*3.6/1000000/'E Balans VL '!Z9*100),0,B27*3.6/1000000/'E Balans VL '!Z9*100)</f>
        <v>0.37152807987878445</v>
      </c>
      <c r="D27" s="233" t="s">
        <v>682</v>
      </c>
      <c r="F27" s="6"/>
    </row>
    <row r="28" spans="1:18">
      <c r="A28" s="168" t="s">
        <v>51</v>
      </c>
      <c r="B28" s="33">
        <f>IF(ISERROR(TER_handel_ele_kWh/1000),0,TER_handel_ele_kWh/1000)</f>
        <v>11174.887000000001</v>
      </c>
      <c r="C28" s="39">
        <f>IF(ISERROR(B28*3.6/1000000/'E Balans VL '!Z13*100),0,B28*3.6/1000000/'E Balans VL '!Z13*100)</f>
        <v>0.33043360165002283</v>
      </c>
      <c r="D28" s="233" t="s">
        <v>682</v>
      </c>
      <c r="F28" s="6"/>
    </row>
    <row r="29" spans="1:18">
      <c r="A29" s="228" t="s">
        <v>50</v>
      </c>
      <c r="B29" s="33">
        <f>IF(ISERROR(TER_gezond_ele_kWh/1000),0,TER_gezond_ele_kWh/1000)</f>
        <v>1013.438</v>
      </c>
      <c r="C29" s="39">
        <f>IF(ISERROR(B29*3.6/1000000/'E Balans VL '!Z10*100),0,B29*3.6/1000000/'E Balans VL '!Z10*100)</f>
        <v>0.11418829793726085</v>
      </c>
      <c r="D29" s="233" t="s">
        <v>682</v>
      </c>
      <c r="F29" s="6"/>
    </row>
    <row r="30" spans="1:18">
      <c r="A30" s="228" t="s">
        <v>49</v>
      </c>
      <c r="B30" s="33">
        <f>IF(ISERROR(TER_ander_ele_kWh/1000),0,TER_ander_ele_kWh/1000)</f>
        <v>4382.7489999999998</v>
      </c>
      <c r="C30" s="39">
        <f>IF(ISERROR(B30*3.6/1000000/'E Balans VL '!Z14*100),0,B30*3.6/1000000/'E Balans VL '!Z14*100)</f>
        <v>0.33145981489899723</v>
      </c>
      <c r="D30" s="233" t="s">
        <v>682</v>
      </c>
      <c r="F30" s="6"/>
    </row>
    <row r="31" spans="1:18">
      <c r="A31" s="228" t="s">
        <v>54</v>
      </c>
      <c r="B31" s="33">
        <f>IF(ISERROR(TER_onderwijs_ele_kWh/1000),0,TER_onderwijs_ele_kWh/1000)</f>
        <v>989.68240000000003</v>
      </c>
      <c r="C31" s="39">
        <f>IF(ISERROR(B31*3.6/1000000/'E Balans VL '!Z11*100),0,B31*3.6/1000000/'E Balans VL '!Z11*100)</f>
        <v>0.20543509174938862</v>
      </c>
      <c r="D31" s="233" t="s">
        <v>682</v>
      </c>
    </row>
    <row r="32" spans="1:18">
      <c r="A32" s="228" t="s">
        <v>255</v>
      </c>
      <c r="B32" s="33">
        <f>IF(ISERROR(TER_rest_ele_kWh/1000),0,TER_rest_ele_kWh/1000)</f>
        <v>7779.8459999999995</v>
      </c>
      <c r="C32" s="39">
        <f>IF(ISERROR(B32*3.6/1000000/'E Balans VL '!Z8*100),0,B32*3.6/1000000/'E Balans VL '!Z8*100)</f>
        <v>6.5540625821587484E-2</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2</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0</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7471.98783</v>
      </c>
      <c r="C5" s="17">
        <f>IF(ISERROR('Eigen informatie GS &amp; warmtenet'!B59),0,'Eigen informatie GS &amp; warmtenet'!B59)</f>
        <v>0</v>
      </c>
      <c r="D5" s="30">
        <f>SUM(D6:D15)</f>
        <v>6615.7860771190017</v>
      </c>
      <c r="E5" s="17">
        <f>SUM(E6:E15)</f>
        <v>833.69827274308841</v>
      </c>
      <c r="F5" s="17">
        <f>SUM(F6:F15)</f>
        <v>5060.344182558606</v>
      </c>
      <c r="G5" s="18"/>
      <c r="H5" s="17"/>
      <c r="I5" s="17"/>
      <c r="J5" s="17">
        <f>SUM(J6:J15)</f>
        <v>42.717826337667319</v>
      </c>
      <c r="K5" s="17"/>
      <c r="L5" s="17"/>
      <c r="M5" s="17"/>
      <c r="N5" s="17">
        <f>SUM(N6:N15)</f>
        <v>1018.6896497464929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619.04190000000006</v>
      </c>
      <c r="C8" s="33"/>
      <c r="D8" s="37">
        <f>IF( ISERROR(IND_metaal_Gas_kWH/1000),0,IND_metaal_Gas_kWH/1000)*0.902</f>
        <v>0</v>
      </c>
      <c r="E8" s="33">
        <f>C30*'E Balans VL '!I18/100/3.6*1000000</f>
        <v>15.492452156766385</v>
      </c>
      <c r="F8" s="33">
        <f>C30*'E Balans VL '!L18/100/3.6*1000000+C30*'E Balans VL '!N18/100/3.6*1000000</f>
        <v>194.0108107327714</v>
      </c>
      <c r="G8" s="34"/>
      <c r="H8" s="33"/>
      <c r="I8" s="33"/>
      <c r="J8" s="40">
        <f>C30*'E Balans VL '!D18/100/3.6*1000000+C30*'E Balans VL '!E18/100/3.6*1000000</f>
        <v>0</v>
      </c>
      <c r="K8" s="33"/>
      <c r="L8" s="33"/>
      <c r="M8" s="33"/>
      <c r="N8" s="33">
        <f>C30*'E Balans VL '!Y18/100/3.6*1000000</f>
        <v>15.551939081823077</v>
      </c>
      <c r="O8" s="33"/>
      <c r="P8" s="33"/>
      <c r="R8" s="32"/>
    </row>
    <row r="9" spans="1:18">
      <c r="A9" s="6" t="s">
        <v>32</v>
      </c>
      <c r="B9" s="37">
        <f t="shared" si="0"/>
        <v>2328.7840000000001</v>
      </c>
      <c r="C9" s="33"/>
      <c r="D9" s="37">
        <f>IF( ISERROR(IND_andere_gas_kWh/1000),0,IND_andere_gas_kWh/1000)*0.902</f>
        <v>2111.6585587174459</v>
      </c>
      <c r="E9" s="33">
        <f>C31*'E Balans VL '!I19/100/3.6*1000000</f>
        <v>640.32008479477315</v>
      </c>
      <c r="F9" s="33">
        <f>C31*'E Balans VL '!L19/100/3.6*1000000+C31*'E Balans VL '!N19/100/3.6*1000000</f>
        <v>1835.4870295112269</v>
      </c>
      <c r="G9" s="34"/>
      <c r="H9" s="33"/>
      <c r="I9" s="33"/>
      <c r="J9" s="40">
        <f>C31*'E Balans VL '!D19/100/3.6*1000000+C31*'E Balans VL '!E19/100/3.6*1000000</f>
        <v>0</v>
      </c>
      <c r="K9" s="33"/>
      <c r="L9" s="33"/>
      <c r="M9" s="33"/>
      <c r="N9" s="33">
        <f>C31*'E Balans VL '!Y19/100/3.6*1000000</f>
        <v>187.60830653598327</v>
      </c>
      <c r="O9" s="33"/>
      <c r="P9" s="33"/>
      <c r="R9" s="32"/>
    </row>
    <row r="10" spans="1:18">
      <c r="A10" s="6" t="s">
        <v>40</v>
      </c>
      <c r="B10" s="37">
        <f t="shared" si="0"/>
        <v>1211.25</v>
      </c>
      <c r="C10" s="33"/>
      <c r="D10" s="37">
        <f>IF( ISERROR(IND_voed_gas_kWh/1000),0,IND_voed_gas_kWh/1000)*0.902</f>
        <v>722.20390049689377</v>
      </c>
      <c r="E10" s="33">
        <f>C32*'E Balans VL '!I20/100/3.6*1000000</f>
        <v>12.348026468567474</v>
      </c>
      <c r="F10" s="33">
        <f>C32*'E Balans VL '!L20/100/3.6*1000000+C32*'E Balans VL '!N20/100/3.6*1000000</f>
        <v>2288.0436743625332</v>
      </c>
      <c r="G10" s="34"/>
      <c r="H10" s="33"/>
      <c r="I10" s="33"/>
      <c r="J10" s="40">
        <f>C32*'E Balans VL '!D20/100/3.6*1000000+C32*'E Balans VL '!E20/100/3.6*1000000</f>
        <v>28.989175727943099</v>
      </c>
      <c r="K10" s="33"/>
      <c r="L10" s="33"/>
      <c r="M10" s="33"/>
      <c r="N10" s="33">
        <f>C32*'E Balans VL '!Y20/100/3.6*1000000</f>
        <v>638.46826889169586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62.711930000000002</v>
      </c>
      <c r="C12" s="33"/>
      <c r="D12" s="37">
        <f>IF( ISERROR(IND_min_gas_kWh/1000),0,IND_min_gas_kWh/1000)*0.902</f>
        <v>0</v>
      </c>
      <c r="E12" s="33">
        <f>C34*'E Balans VL '!I22/100/3.6*1000000</f>
        <v>0.18992606804453857</v>
      </c>
      <c r="F12" s="33">
        <f>C34*'E Balans VL '!L22/100/3.6*1000000+C34*'E Balans VL '!N22/100/3.6*1000000</f>
        <v>1.9598017282104359</v>
      </c>
      <c r="G12" s="34"/>
      <c r="H12" s="33"/>
      <c r="I12" s="33"/>
      <c r="J12" s="40">
        <f>C34*'E Balans VL '!D22/100/3.6*1000000+C34*'E Balans VL '!E22/100/3.6*1000000</f>
        <v>9.2987870858892749E-2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3250.2</v>
      </c>
      <c r="C15" s="33"/>
      <c r="D15" s="37">
        <f>IF( ISERROR(IND_rest_gas_kWh/1000),0,IND_rest_gas_kWh/1000)*0.902</f>
        <v>3781.923617904662</v>
      </c>
      <c r="E15" s="33">
        <f>C37*'E Balans VL '!I15/100/3.6*1000000</f>
        <v>165.34778325493681</v>
      </c>
      <c r="F15" s="33">
        <f>C37*'E Balans VL '!L15/100/3.6*1000000+C37*'E Balans VL '!N15/100/3.6*1000000</f>
        <v>740.84286622386412</v>
      </c>
      <c r="G15" s="34"/>
      <c r="H15" s="33"/>
      <c r="I15" s="33"/>
      <c r="J15" s="40">
        <f>C37*'E Balans VL '!D15/100/3.6*1000000+C37*'E Balans VL '!E15/100/3.6*1000000</f>
        <v>13.635662738865324</v>
      </c>
      <c r="K15" s="33"/>
      <c r="L15" s="33"/>
      <c r="M15" s="33"/>
      <c r="N15" s="33">
        <f>C37*'E Balans VL '!Y15/100/3.6*1000000</f>
        <v>177.06113523699076</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7471.98783</v>
      </c>
      <c r="C18" s="21">
        <f>C5+C16</f>
        <v>0</v>
      </c>
      <c r="D18" s="21">
        <f>MAX((D5+D16),0)</f>
        <v>6615.7860771190017</v>
      </c>
      <c r="E18" s="21">
        <f>MAX((E5+E16),0)</f>
        <v>833.69827274308841</v>
      </c>
      <c r="F18" s="21">
        <f>MAX((F5+F16),0)</f>
        <v>5060.344182558606</v>
      </c>
      <c r="G18" s="21"/>
      <c r="H18" s="21"/>
      <c r="I18" s="21"/>
      <c r="J18" s="21">
        <f>MAX((J5+J16),0)</f>
        <v>42.717826337667319</v>
      </c>
      <c r="K18" s="21"/>
      <c r="L18" s="21">
        <f>MAX((L5+L16),0)</f>
        <v>0</v>
      </c>
      <c r="M18" s="21"/>
      <c r="N18" s="21">
        <f>MAX((N5+N16),0)</f>
        <v>1018.6896497464929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0.20694802283984573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1546.3131081018894</v>
      </c>
      <c r="C22" s="23">
        <f ca="1">C18*C20</f>
        <v>0</v>
      </c>
      <c r="D22" s="23">
        <f>D18*D20</f>
        <v>1336.3887875780383</v>
      </c>
      <c r="E22" s="23">
        <f>E18*E20</f>
        <v>189.24950791268108</v>
      </c>
      <c r="F22" s="23">
        <f>F18*F20</f>
        <v>1351.1118967431478</v>
      </c>
      <c r="G22" s="23"/>
      <c r="H22" s="23"/>
      <c r="I22" s="23"/>
      <c r="J22" s="23">
        <f>J18*J20</f>
        <v>15.12211052353423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619.04190000000006</v>
      </c>
      <c r="C30" s="39">
        <f>IF(ISERROR(B30*3.6/1000000/'E Balans VL '!Z18*100),0,B30*3.6/1000000/'E Balans VL '!Z18*100)</f>
        <v>8.6645236200778825E-2</v>
      </c>
      <c r="D30" s="233" t="s">
        <v>682</v>
      </c>
    </row>
    <row r="31" spans="1:18">
      <c r="A31" s="6" t="s">
        <v>32</v>
      </c>
      <c r="B31" s="37">
        <f>IF( ISERROR(IND_ander_ele_kWh/1000),0,IND_ander_ele_kWh/1000)</f>
        <v>2328.7840000000001</v>
      </c>
      <c r="C31" s="39">
        <f>IF(ISERROR(B31*3.6/1000000/'E Balans VL '!Z19*100),0,B31*3.6/1000000/'E Balans VL '!Z19*100)</f>
        <v>0.10193049789756202</v>
      </c>
      <c r="D31" s="233" t="s">
        <v>682</v>
      </c>
    </row>
    <row r="32" spans="1:18">
      <c r="A32" s="168" t="s">
        <v>40</v>
      </c>
      <c r="B32" s="37">
        <f>IF( ISERROR(IND_voed_ele_kWh/1000),0,IND_voed_ele_kWh/1000)</f>
        <v>1211.25</v>
      </c>
      <c r="C32" s="39">
        <f>IF(ISERROR(B32*3.6/1000000/'E Balans VL '!Z20*100),0,B32*3.6/1000000/'E Balans VL '!Z20*100)</f>
        <v>0.29986527637154975</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62.711930000000002</v>
      </c>
      <c r="C34" s="39">
        <f>IF(ISERROR(B34*3.6/1000000/'E Balans VL '!Z22*100),0,B34*3.6/1000000/'E Balans VL '!Z22*100)</f>
        <v>1.7795087224761687E-3</v>
      </c>
      <c r="D34" s="233" t="s">
        <v>682</v>
      </c>
    </row>
    <row r="35" spans="1:5">
      <c r="A35" s="168" t="s">
        <v>38</v>
      </c>
      <c r="B35" s="37">
        <f>IF( ISERROR(IND_papier_ele_kWh/1000),0,IND_papier_ele_kWh/1000)</f>
        <v>0</v>
      </c>
      <c r="C35" s="39">
        <f>IF(ISERROR(B35*3.6/1000000/'E Balans VL '!Z22*100),0,B35*3.6/1000000/'E Balans VL '!Z22*100)</f>
        <v>0</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3250.2</v>
      </c>
      <c r="C37" s="39">
        <f>IF(ISERROR(B37*3.6/1000000/'E Balans VL '!Z15*100),0,B37*3.6/1000000/'E Balans VL '!Z15*100)</f>
        <v>2.4099676542212681E-2</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1433.5078999999998</v>
      </c>
      <c r="C5" s="17">
        <f>'Eigen informatie GS &amp; warmtenet'!B60</f>
        <v>0</v>
      </c>
      <c r="D5" s="30">
        <f>IF(ISERROR(SUM(LB_lb_gas_kWh,LB_rest_gas_kWh)/1000),0,SUM(LB_lb_gas_kWh,LB_rest_gas_kWh)/1000)*0.902</f>
        <v>524.97449368277421</v>
      </c>
      <c r="E5" s="17">
        <f>B17*'E Balans VL '!I25/3.6*1000000/100</f>
        <v>13.277750578099205</v>
      </c>
      <c r="F5" s="17">
        <f>B17*('E Balans VL '!L25/3.6*1000000+'E Balans VL '!N25/3.6*1000000)/100</f>
        <v>3637.082625274707</v>
      </c>
      <c r="G5" s="18"/>
      <c r="H5" s="17"/>
      <c r="I5" s="17"/>
      <c r="J5" s="17">
        <f>('E Balans VL '!D25+'E Balans VL '!E25)/3.6*1000000*landbouw!B17/100</f>
        <v>219.77275906485568</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1433.5078999999998</v>
      </c>
      <c r="C8" s="21">
        <f>C5+C6</f>
        <v>0</v>
      </c>
      <c r="D8" s="21">
        <f>MAX((D5+D6),0)</f>
        <v>524.97449368277421</v>
      </c>
      <c r="E8" s="21">
        <f>MAX((E5+E6),0)</f>
        <v>13.277750578099205</v>
      </c>
      <c r="F8" s="21">
        <f>MAX((F5+F6),0)</f>
        <v>3637.082625274707</v>
      </c>
      <c r="G8" s="21"/>
      <c r="H8" s="21"/>
      <c r="I8" s="21"/>
      <c r="J8" s="21">
        <f>MAX((J5+J6),0)</f>
        <v>219.77275906485568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0.20694802283984573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296.66162563029923</v>
      </c>
      <c r="C12" s="23">
        <f ca="1">C8*C10</f>
        <v>0</v>
      </c>
      <c r="D12" s="23">
        <f>D8*D10</f>
        <v>106.0448477239204</v>
      </c>
      <c r="E12" s="23">
        <f>E8*E10</f>
        <v>3.0140493812285198</v>
      </c>
      <c r="F12" s="23">
        <f>F8*F10</f>
        <v>971.1010609483468</v>
      </c>
      <c r="G12" s="23"/>
      <c r="H12" s="23"/>
      <c r="I12" s="23"/>
      <c r="J12" s="23">
        <f>J8*J10</f>
        <v>77.799556708958903</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0.20381442775866512</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481.3060211419043</v>
      </c>
      <c r="C26" s="243">
        <f>B26*'GWP N2O_CH4'!B5</f>
        <v>10107.42644397999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94.304560527400128</v>
      </c>
      <c r="C27" s="243">
        <f>B27*'GWP N2O_CH4'!B5</f>
        <v>1980.3957710754028</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7.1009324767059017</v>
      </c>
      <c r="C28" s="243">
        <f>B28*'GWP N2O_CH4'!B4</f>
        <v>2201.2890677788296</v>
      </c>
      <c r="D28" s="50"/>
    </row>
    <row r="29" spans="1:4">
      <c r="A29" s="41" t="s">
        <v>272</v>
      </c>
      <c r="B29" s="243">
        <f>B34*'ha_N2O bodem landbouw'!B4</f>
        <v>27.730288361251901</v>
      </c>
      <c r="C29" s="243">
        <f>B29*'GWP N2O_CH4'!B4</f>
        <v>8596.3893919880902</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6.2194151463321927E-3</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8.1334512979755751E-5</v>
      </c>
      <c r="C5" s="432" t="s">
        <v>210</v>
      </c>
      <c r="D5" s="417">
        <f>SUM(D6:D11)</f>
        <v>1.3879704800417281E-4</v>
      </c>
      <c r="E5" s="417">
        <f>SUM(E6:E11)</f>
        <v>1.3387369718384752E-3</v>
      </c>
      <c r="F5" s="430" t="s">
        <v>210</v>
      </c>
      <c r="G5" s="417">
        <f>SUM(G6:G11)</f>
        <v>0.42710210877435401</v>
      </c>
      <c r="H5" s="417">
        <f>SUM(H6:H11)</f>
        <v>7.9485204915274887E-2</v>
      </c>
      <c r="I5" s="432" t="s">
        <v>210</v>
      </c>
      <c r="J5" s="432" t="s">
        <v>210</v>
      </c>
      <c r="K5" s="432" t="s">
        <v>210</v>
      </c>
      <c r="L5" s="432" t="s">
        <v>210</v>
      </c>
      <c r="M5" s="417">
        <f>SUM(M6:M11)</f>
        <v>2.7186690137831246E-2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5.0729125004385351E-5</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7.6618129237325069E-5</v>
      </c>
      <c r="E6" s="860">
        <f>vkm_GW_PW*SUMIFS(TableVerdeelsleutelVkm[LPG],TableVerdeelsleutelVkm[Voertuigtype],"Lichte voertuigen")*SUMIFS(TableECFTransport[EnergieConsumptieFactor (PJ per km)],TableECFTransport[Index],CONCATENATE($A6,"_LPG_LPG"))</f>
        <v>7.5465099530108487E-4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0.17264829474937216</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4.4554093799672116E-2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1.1368684101366438E-2</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3.0170741036778488E-6</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0.11579656091457217</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2.1895310021652697E-6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6.7136211015694936E-3</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2.7291524875113506E-5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6.2178918766847744E-5</v>
      </c>
      <c r="E8" s="420">
        <f>vkm_NGW_PW*SUMIFS(TableVerdeelsleutelVkm[LPG],TableVerdeelsleutelVkm[Voertuigtype],"Lichte voertuigen")*SUMIFS(TableECFTransport[EnergieConsumptieFactor (PJ per km)],TableECFTransport[Index],CONCATENATE($A8,"_LPG_LPG"))</f>
        <v>5.8408597653739037E-4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0.1240220812531503</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3.4928661610931618E-2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8.2558714846585925E-3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2.9678899657905164E-7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1.4635171857259374E-2</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2.5997366898558698E-7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8.4851345023672275E-4</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22.592920272154373</v>
      </c>
      <c r="C14" s="21"/>
      <c r="D14" s="21">
        <f t="shared" ref="D14:M14" si="0">((D5)*10^9/3600)+D12</f>
        <v>38.554735556714668</v>
      </c>
      <c r="E14" s="21">
        <f t="shared" si="0"/>
        <v>371.87138106624309</v>
      </c>
      <c r="F14" s="21"/>
      <c r="G14" s="21">
        <f t="shared" si="0"/>
        <v>118639.47465954277</v>
      </c>
      <c r="H14" s="21">
        <f t="shared" si="0"/>
        <v>22079.223587576358</v>
      </c>
      <c r="I14" s="21"/>
      <c r="J14" s="21"/>
      <c r="K14" s="21"/>
      <c r="L14" s="21"/>
      <c r="M14" s="21">
        <f t="shared" si="0"/>
        <v>7551.85837161979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0.20694802283984573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4.6755601805006171</v>
      </c>
      <c r="C18" s="23"/>
      <c r="D18" s="23">
        <f t="shared" ref="D18:M18" si="1">D14*D16</f>
        <v>7.7880565824563632</v>
      </c>
      <c r="E18" s="23">
        <f t="shared" si="1"/>
        <v>84.414803502037188</v>
      </c>
      <c r="F18" s="23"/>
      <c r="G18" s="23">
        <f t="shared" si="1"/>
        <v>31676.739734097922</v>
      </c>
      <c r="H18" s="23">
        <f t="shared" si="1"/>
        <v>5497.7266733065135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3.5813183617936961E-5</v>
      </c>
      <c r="C50" s="313">
        <f t="shared" ref="C50:P50" si="2">SUM(C51:C52)</f>
        <v>0</v>
      </c>
      <c r="D50" s="313">
        <f t="shared" si="2"/>
        <v>0</v>
      </c>
      <c r="E50" s="313">
        <f t="shared" si="2"/>
        <v>0</v>
      </c>
      <c r="F50" s="313">
        <f t="shared" si="2"/>
        <v>0</v>
      </c>
      <c r="G50" s="313">
        <f t="shared" si="2"/>
        <v>6.7861257424836697E-3</v>
      </c>
      <c r="H50" s="313">
        <f t="shared" si="2"/>
        <v>0</v>
      </c>
      <c r="I50" s="313">
        <f t="shared" si="2"/>
        <v>0</v>
      </c>
      <c r="J50" s="313">
        <f t="shared" si="2"/>
        <v>0</v>
      </c>
      <c r="K50" s="313">
        <f t="shared" si="2"/>
        <v>0</v>
      </c>
      <c r="L50" s="313">
        <f t="shared" si="2"/>
        <v>0</v>
      </c>
      <c r="M50" s="313">
        <f t="shared" si="2"/>
        <v>3.9066393117090121E-4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3.5813183617936961E-5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6.7861257424836697E-3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3.9066393117090121E-4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9.9481065605380454</v>
      </c>
      <c r="C54" s="21">
        <f t="shared" ref="C54:P54" si="3">(C50)*10^9/3600</f>
        <v>0</v>
      </c>
      <c r="D54" s="21">
        <f t="shared" si="3"/>
        <v>0</v>
      </c>
      <c r="E54" s="21">
        <f t="shared" si="3"/>
        <v>0</v>
      </c>
      <c r="F54" s="21">
        <f t="shared" si="3"/>
        <v>0</v>
      </c>
      <c r="G54" s="21">
        <f t="shared" si="3"/>
        <v>1885.0349284676861</v>
      </c>
      <c r="H54" s="21">
        <f t="shared" si="3"/>
        <v>0</v>
      </c>
      <c r="I54" s="21">
        <f t="shared" si="3"/>
        <v>0</v>
      </c>
      <c r="J54" s="21">
        <f t="shared" si="3"/>
        <v>0</v>
      </c>
      <c r="K54" s="21">
        <f t="shared" si="3"/>
        <v>0</v>
      </c>
      <c r="L54" s="21">
        <f t="shared" si="3"/>
        <v>0</v>
      </c>
      <c r="M54" s="21">
        <f t="shared" si="3"/>
        <v>108.51775865858367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0.20694802283984573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2.0587409837034465</v>
      </c>
      <c r="C58" s="23">
        <f t="shared" ref="C58:P58" ca="1" si="4">C54*C56</f>
        <v>0</v>
      </c>
      <c r="D58" s="23">
        <f t="shared" si="4"/>
        <v>0</v>
      </c>
      <c r="E58" s="23">
        <f t="shared" si="4"/>
        <v>0</v>
      </c>
      <c r="F58" s="23">
        <f t="shared" si="4"/>
        <v>0</v>
      </c>
      <c r="G58" s="23">
        <f t="shared" si="4"/>
        <v>503.30432590087219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6915.7491788210136</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0</v>
      </c>
      <c r="C8" s="539">
        <f>B48</f>
        <v>0</v>
      </c>
      <c r="D8" s="1016"/>
      <c r="E8" s="1016">
        <f>E48</f>
        <v>0</v>
      </c>
      <c r="F8" s="1017"/>
      <c r="G8" s="540"/>
      <c r="H8" s="1016">
        <f>I48</f>
        <v>0</v>
      </c>
      <c r="I8" s="1016">
        <f>G48+F48</f>
        <v>0</v>
      </c>
      <c r="J8" s="1016">
        <f>H48+D48+C48</f>
        <v>0</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6915.7491788210136</v>
      </c>
      <c r="C10" s="552">
        <f t="shared" ref="C10:L10" si="0">SUM(C8:C9)</f>
        <v>0</v>
      </c>
      <c r="D10" s="552">
        <f t="shared" si="0"/>
        <v>0</v>
      </c>
      <c r="E10" s="552">
        <f t="shared" si="0"/>
        <v>0</v>
      </c>
      <c r="F10" s="552">
        <f t="shared" si="0"/>
        <v>0</v>
      </c>
      <c r="G10" s="552">
        <f t="shared" si="0"/>
        <v>0</v>
      </c>
      <c r="H10" s="552">
        <f t="shared" si="0"/>
        <v>0</v>
      </c>
      <c r="I10" s="552">
        <f t="shared" si="0"/>
        <v>0</v>
      </c>
      <c r="J10" s="552">
        <f t="shared" si="0"/>
        <v>0</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0</v>
      </c>
      <c r="C17" s="564">
        <f>B49</f>
        <v>0</v>
      </c>
      <c r="D17" s="565"/>
      <c r="E17" s="565">
        <f>E49</f>
        <v>0</v>
      </c>
      <c r="F17" s="1022"/>
      <c r="G17" s="566"/>
      <c r="H17" s="564">
        <f>I49</f>
        <v>0</v>
      </c>
      <c r="I17" s="565">
        <f>G49+F49</f>
        <v>0</v>
      </c>
      <c r="J17" s="565">
        <f>H49+D49+C49</f>
        <v>0</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0</v>
      </c>
      <c r="C20" s="551">
        <f>SUM(C17:C19)</f>
        <v>0</v>
      </c>
      <c r="D20" s="551">
        <f t="shared" ref="D20:L20" si="1">SUM(D17:D19)</f>
        <v>0</v>
      </c>
      <c r="E20" s="551">
        <f t="shared" si="1"/>
        <v>0</v>
      </c>
      <c r="F20" s="551">
        <f t="shared" si="1"/>
        <v>0</v>
      </c>
      <c r="G20" s="551">
        <f t="shared" si="1"/>
        <v>0</v>
      </c>
      <c r="H20" s="551">
        <f t="shared" si="1"/>
        <v>0</v>
      </c>
      <c r="I20" s="551">
        <f t="shared" si="1"/>
        <v>0</v>
      </c>
      <c r="J20" s="551">
        <f t="shared" si="1"/>
        <v>0</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12.75">
      <c r="A28" s="574"/>
      <c r="B28" s="765"/>
      <c r="C28" s="765"/>
      <c r="D28" s="622"/>
      <c r="E28" s="621"/>
      <c r="F28" s="621"/>
      <c r="G28" s="621"/>
      <c r="H28" s="621"/>
      <c r="I28" s="621"/>
      <c r="J28" s="764"/>
      <c r="K28" s="764"/>
      <c r="L28" s="621"/>
      <c r="M28" s="621"/>
      <c r="N28" s="621"/>
      <c r="O28" s="621"/>
      <c r="P28" s="621"/>
      <c r="Q28" s="621"/>
      <c r="R28" s="621"/>
      <c r="S28" s="621"/>
      <c r="T28" s="621"/>
      <c r="U28" s="621"/>
      <c r="V28" s="621"/>
      <c r="W28" s="621"/>
      <c r="X28" s="621"/>
      <c r="Y28" s="621"/>
      <c r="Z28" s="623"/>
    </row>
    <row r="29" spans="1:26" s="559" customFormat="1">
      <c r="A29" s="577" t="s">
        <v>275</v>
      </c>
      <c r="B29" s="578"/>
      <c r="C29" s="578"/>
      <c r="D29" s="578"/>
      <c r="E29" s="578"/>
      <c r="F29" s="578"/>
      <c r="G29" s="578"/>
      <c r="H29" s="578"/>
      <c r="I29" s="578"/>
      <c r="J29" s="578"/>
      <c r="K29" s="578"/>
      <c r="L29" s="579"/>
      <c r="M29" s="579">
        <f>SUM(M28:M28)</f>
        <v>0</v>
      </c>
      <c r="N29" s="579">
        <f>SUM(N28:N28)</f>
        <v>0</v>
      </c>
      <c r="O29" s="579">
        <f>SUM(O28:O28)</f>
        <v>0</v>
      </c>
      <c r="P29" s="579">
        <f>SUM(P28:P28)</f>
        <v>0</v>
      </c>
      <c r="Q29" s="579">
        <f>SUM(Q28:Q28)</f>
        <v>0</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v>
      </c>
      <c r="C45" s="604">
        <f>IF(ISERROR(N29/(O29+N29)),0,N29/(N29+O29))</f>
        <v>0</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0</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0</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2021-06-29T16:15:01Z</dcterms:modified>
</cp:coreProperties>
</file>