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D16" i="14"/>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<sst xmlns="http://schemas.openxmlformats.org/spreadsheetml/2006/main" count="2565" uniqueCount="965">
  <si>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</si>
  <si>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</si>
  <si>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</si>
  <si>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</si>
  <si>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</si>
  <si>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</si>
  <si>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</si>
  <si>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</si>
  <si>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</si>
  <si>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</si>
  <si>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</si>
  <si>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</si>
  <si>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</si>
  <si>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</si>
  <si>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</si>
  <si>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</si>
  <si>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</si>
  <si>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</si>
  <si>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</si>
  <si>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</si>
  <si>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</si>
  <si>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</si>
  <si>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</si>
  <si>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</si>
  <si>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</si>
  <si>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</si>
  <si>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</si>
  <si>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</si>
  <si>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</si>
  <si>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</si>
  <si>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</si>
  <si>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</si>
  <si>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</si>
  <si>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</si>
  <si>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</si>
  <si>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</si>
  <si>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</si>
  <si>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</si>
  <si>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</si>
  <si>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</si>
  <si>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</si>
  <si>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</si>
  <si>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</si>
  <si>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</si>
  <si>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</si>
  <si>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</si>
  <si>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</si>
  <si>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</si>
  <si>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</si>
  <si>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</si>
  <si>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</si>
  <si>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</si>
  <si>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</si>
  <si>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</si>
  <si>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</si>
  <si>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</si>
  <si>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</si>
  <si>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</si>
  <si>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</si>
  <si>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</si>
  <si>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</si>
  <si>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</si>
  <si>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</si>
  <si>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</si>
  <si>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</si>
  <si>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</si>
  <si>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</si>
  <si>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</si>
  <si>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</si>
  <si>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</si>
  <si>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</si>
  <si>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</si>
  <si>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</si>
  <si>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</si>
  <si>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</si>
  <si>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</si>
  <si>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</si>
  <si>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</si>
  <si>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</si>
  <si>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</si>
  <si>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</si>
  <si>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</si>
  <si>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</si>
  <si>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</si>
  <si>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</si>
  <si>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</si>
  <si>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</si>
  <si>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</si>
  <si>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</si>
  <si>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</si>
  <si>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</si>
  <si>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</si>
  <si>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</si>
  <si>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</si>
  <si>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</si>
  <si>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</si>
  <si>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</si>
  <si>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</si>
  <si>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</si>
  <si>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</si>
  <si>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</si>
  <si>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</si>
  <si>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</si>
  <si>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</si>
  <si>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</si>
  <si>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</si>
  <si>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</si>
  <si>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</si>
  <si>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</si>
  <si>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</si>
  <si>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</si>
  <si>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</si>
  <si>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</si>
  <si>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</si>
  <si>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</si>
  <si>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</si>
  <si>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</si>
  <si>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</si>
  <si>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</si>
  <si>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</si>
  <si>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</si>
  <si>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</si>
  <si>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</si>
  <si>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</si>
  <si>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</si>
  <si>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</si>
  <si>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</si>
  <si>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</si>
  <si>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</si>
  <si>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</si>
  <si>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</si>
  <si>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</si>
  <si>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</si>
  <si>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</si>
  <si>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</si>
  <si>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</si>
  <si>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</si>
  <si>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</si>
  <si>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</si>
  <si>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</si>
  <si>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</si>
  <si>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</si>
  <si>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</si>
  <si>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</si>
  <si>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</si>
  <si>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</si>
  <si>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</si>
  <si>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</si>
  <si>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</si>
  <si>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</si>
  <si>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</si>
  <si>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</si>
  <si>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</si>
  <si>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</si>
  <si>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</si>
  <si>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</si>
  <si>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</si>
  <si>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</si>
  <si>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</si>
  <si>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</si>
  <si>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</si>
  <si>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</si>
  <si>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</si>
  <si>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</si>
  <si>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</si>
  <si>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</si>
  <si>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</si>
  <si>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</si>
  <si>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</si>
  <si>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</si>
  <si>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</si>
  <si>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</si>
  <si>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</si>
  <si>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</si>
  <si>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</si>
  <si>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</si>
  <si>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</si>
  <si>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</si>
  <si>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</si>
  <si>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</si>
  <si>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</si>
  <si>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</si>
  <si>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</si>
  <si>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</si>
  <si>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</si>
  <si>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</si>
  <si>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</si>
  <si>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</si>
  <si>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</si>
  <si>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</si>
  <si>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</si>
  <si>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</si>
  <si>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</si>
  <si>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</si>
  <si>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</si>
  <si>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</si>
  <si>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</si>
  <si>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</si>
  <si>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</si>
  <si>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</si>
  <si>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</si>
  <si>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</si>
  <si>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</si>
  <si>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</si>
  <si>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</si>
  <si>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</si>
  <si>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</si>
  <si>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</si>
  <si>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</si>
  <si>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</si>
  <si>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</si>
  <si>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</si>
  <si>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</si>
  <si>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</si>
  <si>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</si>
  <si>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</si>
  <si>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</si>
  <si>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</si>
  <si>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</si>
  <si>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</si>
  <si>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</si>
  <si>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</si>
  <si>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</si>
  <si>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</si>
  <si>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</si>
  <si>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</si>
  <si>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</si>
  <si>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</si>
  <si>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</si>
  <si>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</si>
  <si>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</si>
  <si>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</si>
  <si>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</si>
  <si>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</si>
  <si>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</si>
  <si>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</si>
  <si>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</si>
  <si>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</si>
  <si>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</si>
  <si>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</si>
  <si>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</si>
  <si>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</si>
  <si>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</si>
  <si>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</si>
  <si>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</si>
  <si>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</si>
  <si>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</si>
  <si>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</si>
  <si>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</si>
  <si>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</si>
  <si>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</si>
  <si>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</si>
  <si>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</si>
  <si>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</si>
  <si>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</si>
  <si>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</si>
  <si>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</si>
  <si>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</si>
  <si>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</si>
  <si>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</si>
  <si>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</si>
  <si>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</si>
  <si>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</si>
  <si>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</si>
  <si>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</si>
  <si>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</si>
  <si>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</si>
  <si>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</si>
  <si>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</si>
  <si>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</si>
  <si>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</si>
  <si>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</si>
  <si>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</si>
  <si>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</si>
  <si>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</si>
  <si>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</si>
  <si>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</si>
  <si>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</si>
  <si>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</si>
  <si>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</si>
  <si>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</si>
  <si>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</si>
  <si>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</si>
  <si>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</si>
  <si>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</si>
  <si>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</si>
  <si>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</si>
  <si>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</si>
  <si>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</si>
  <si>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</si>
  <si>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</si>
  <si>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</si>
  <si>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</si>
  <si>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</si>
  <si>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</si>
  <si>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</si>
  <si>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</si>
  <si>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</si>
  <si>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</si>
  <si>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</si>
  <si>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</si>
  <si>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</si>
  <si>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</si>
  <si>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</si>
  <si>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</si>
  <si>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</si>
  <si>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</si>
  <si>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</si>
  <si>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</si>
  <si>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</si>
  <si>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</si>
  <si>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</si>
  <si>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</si>
  <si>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</si>
  <si>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</si>
  <si>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</si>
  <si>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</si>
  <si>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</si>
  <si>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</si>
  <si>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</si>
  <si>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</si>
  <si>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</si>
  <si>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</si>
  <si>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</si>
  <si>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</si>
  <si>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</si>
  <si>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</si>
  <si>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</si>
  <si>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</si>
  <si>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</si>
  <si>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</si>
  <si>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</si>
  <si>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</si>
  <si>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</si>
  <si>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</si>
  <si>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</si>
  <si>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</si>
  <si>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</si>
  <si>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</si>
  <si>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</si>
  <si>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</si>
  <si>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</si>
  <si>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</si>
  <si>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</si>
  <si>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</si>
  <si>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</si>
  <si>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</si>
  <si>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</si>
  <si>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</si>
  <si>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</si>
  <si>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</si>
  <si>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</si>
  <si>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</si>
  <si>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</si>
  <si>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</si>
  <si>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</si>
  <si>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</si>
  <si>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</si>
  <si>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</si>
  <si>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</si>
  <si>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</si>
  <si>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</si>
  <si>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</si>
  <si>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</si>
  <si>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</si>
  <si>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</si>
  <si>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</si>
  <si>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</si>
  <si>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</si>
  <si>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</si>
  <si>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</si>
  <si>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</si>
  <si>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</si>
  <si>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</si>
  <si>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</si>
  <si>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</si>
  <si>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</si>
  <si>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</si>
  <si>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</si>
  <si>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</si>
  <si>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</si>
  <si>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</si>
  <si>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</si>
  <si>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</si>
  <si>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</si>
  <si>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</si>
  <si>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</si>
  <si>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</si>
  <si>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</si>
  <si>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</si>
  <si>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</si>
  <si>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</si>
  <si>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</si>
  <si>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</si>
  <si>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</si>
  <si>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</si>
  <si>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</si>
  <si>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</si>
  <si>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</si>
  <si>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</si>
  <si>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</si>
  <si>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</si>
  <si>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</si>
  <si>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</si>
  <si>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</si>
  <si>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</si>
  <si>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</si>
  <si>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</si>
  <si>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</si>
  <si>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</si>
  <si>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</si>
  <si>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</si>
  <si>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</si>
  <si>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</si>
  <si>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</si>
  <si>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</si>
  <si>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</si>
  <si>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</si>
  <si>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</si>
  <si>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</si>
  <si>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</si>
  <si>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</si>
  <si>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</si>
  <si>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</si>
  <si>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</si>
  <si>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</si>
  <si>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</si>
  <si>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</si>
  <si>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</si>
  <si>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</si>
  <si>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</si>
  <si>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</si>
  <si>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</si>
  <si>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</si>
  <si>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</si>
  <si>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</si>
  <si>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</si>
  <si>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</si>
  <si>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</si>
  <si>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</si>
  <si>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</si>
  <si>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</si>
  <si>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</si>
  <si>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</si>
  <si>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</si>
  <si>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</si>
  <si>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</si>
  <si>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</si>
  <si>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</si>
  <si>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</si>
  <si>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</si>
  <si>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</si>
  <si>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</si>
  <si>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</si>
  <si>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</si>
  <si>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</si>
  <si>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</si>
  <si>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</si>
  <si>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</si>
  <si>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</si>
  <si>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</si>
  <si>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</si>
  <si>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</si>
  <si>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</si>
  <si>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</si>
  <si>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</si>
  <si>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</si>
  <si>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</si>
  <si>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</si>
  <si>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</si>
  <si>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</si>
  <si>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</si>
  <si>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</si>
  <si>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</si>
  <si>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</si>
  <si>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</si>
  <si>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</si>
  <si>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</si>
  <si>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</si>
  <si>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</si>
  <si>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</si>
  <si>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</si>
  <si>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</si>
  <si>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</si>
  <si>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</si>
  <si>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</si>
  <si>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</si>
  <si>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</si>
  <si>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</si>
  <si>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</si>
  <si>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</si>
  <si>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</si>
  <si>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</si>
  <si>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</si>
  <si>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</si>
  <si>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</si>
  <si>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</si>
  <si>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</si>
  <si>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</si>
  <si>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</si>
  <si>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</si>
  <si>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</si>
  <si>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</si>
  <si>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</si>
  <si>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</si>
  <si>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</si>
  <si>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</si>
  <si>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</si>
  <si>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</si>
  <si>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</si>
  <si>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</si>
  <si>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</si>
  <si>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</si>
  <si>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</si>
  <si>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</si>
  <si>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</si>
  <si>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</si>
  <si>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</si>
  <si>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</si>
  <si>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</si>
  <si>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</si>
  <si>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</si>
  <si>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</si>
  <si>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</si>
  <si>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</si>
  <si>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</si>
  <si>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</si>
  <si>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</si>
  <si>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</si>
  <si>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</si>
  <si>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</si>
  <si>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</si>
  <si>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</si>
  <si>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</si>
  <si>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</si>
  <si>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</si>
  <si>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</si>
  <si>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</si>
  <si>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</si>
  <si>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</si>
  <si>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</si>
  <si>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</si>
  <si>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</si>
  <si>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</si>
  <si>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</si>
  <si>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</si>
  <si>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</si>
  <si>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</si>
  <si>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</si>
  <si>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</si>
  <si>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</si>
  <si>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</si>
  <si>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</si>
  <si>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</si>
  <si>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</si>
  <si>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</si>
  <si>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</si>
  <si>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</si>
  <si>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</si>
  <si>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</si>
  <si>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</si>
  <si>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</si>
  <si>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</si>
  <si>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</si>
  <si>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</si>
  <si>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</si>
  <si>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</si>
  <si>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</si>
  <si>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</si>
  <si>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</si>
  <si>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</si>
  <si>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</si>
  <si>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</si>
  <si>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</si>
  <si>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</si>
  <si>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</si>
  <si>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</si>
  <si>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</si>
  <si>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</si>
  <si>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</si>
  <si>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</si>
  <si>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</si>
  <si>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</si>
  <si>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</si>
  <si>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</si>
  <si>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</si>
  <si>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</si>
  <si>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</si>
  <si>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</si>
  <si>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</si>
  <si>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</si>
  <si>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</si>
  <si>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</si>
  <si>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</si>
  <si>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</si>
  <si>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</si>
  <si>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</si>
  <si>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</si>
  <si>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</si>
  <si>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</si>
  <si>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</si>
  <si>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</si>
  <si>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</si>
  <si>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</si>
  <si>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</si>
  <si>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</si>
  <si>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</si>
  <si>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</si>
  <si>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</si>
  <si>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</si>
  <si>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</si>
  <si>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</si>
  <si>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</si>
  <si>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</si>
  <si>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</si>
  <si>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</si>
  <si>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</si>
  <si>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</si>
  <si>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</si>
  <si>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</si>
  <si>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</si>
  <si>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</si>
  <si>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</si>
  <si>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</si>
  <si>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</si>
  <si>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</si>
  <si>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</si>
  <si>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</si>
  <si>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</si>
  <si>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</si>
  <si>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</si>
  <si>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</si>
  <si>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</si>
  <si>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</si>
  <si>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</si>
  <si>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</si>
  <si>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</si>
  <si>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</si>
  <si>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</si>
  <si>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</si>
  <si>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</si>
  <si>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</si>
  <si>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</si>
  <si>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</si>
  <si>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</si>
  <si>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</si>
  <si>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</si>
  <si>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</si>
  <si>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</si>
  <si>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</si>
  <si>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</si>
  <si>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</si>
  <si>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</si>
  <si>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</si>
  <si>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</si>
  <si>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</si>
  <si>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</si>
  <si>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</si>
  <si>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</si>
  <si>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</si>
  <si>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</si>
  <si>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</si>
  <si>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</si>
  <si>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</si>
  <si>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</si>
  <si>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</si>
  <si>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</si>
  <si>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</si>
  <si>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</si>
  <si>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</si>
  <si>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</si>
  <si>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</si>
  <si>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</si>
  <si>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</si>
  <si>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</si>
  <si>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</si>
  <si>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</si>
  <si>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</si>
  <si>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</si>
  <si>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</si>
  <si>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</si>
  <si>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</si>
  <si>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</si>
  <si>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</si>
  <si>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</si>
  <si>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</si>
  <si>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</si>
  <si>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</si>
  <si>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</si>
  <si>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</si>
  <si>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</si>
  <si>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</si>
  <si>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</si>
  <si>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</si>
  <si>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</si>
  <si>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</si>
  <si>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</si>
  <si>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</si>
  <si>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</si>
  <si>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</si>
  <si>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</si>
  <si>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</si>
  <si>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</si>
  <si>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</si>
  <si>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</si>
  <si>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</si>
  <si>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</si>
  <si>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</si>
  <si>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</si>
  <si>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</si>
  <si>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</si>
  <si>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</si>
  <si>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</si>
  <si>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</si>
  <si>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</si>
  <si>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</si>
  <si>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</si>
  <si>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</si>
  <si>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</si>
  <si>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</si>
  <si>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</si>
  <si>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</si>
  <si>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</si>
  <si>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</si>
  <si>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</si>
  <si>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</si>
  <si>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</si>
  <si>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</si>
  <si>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</si>
  <si>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</si>
  <si>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</si>
  <si>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</si>
  <si>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</si>
  <si>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</si>
  <si>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</si>
  <si>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</si>
  <si>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</si>
  <si>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</si>
  <si>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</si>
  <si>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</si>
  <si>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</si>
  <si>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</si>
  <si>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</si>
  <si>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</si>
  <si>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</si>
  <si>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</si>
  <si>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</si>
  <si>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</si>
  <si>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</si>
  <si>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</si>
  <si>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</si>
  <si>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</si>
  <si>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</si>
  <si>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</si>
  <si>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</si>
  <si>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</si>
  <si>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</si>
  <si>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</si>
  <si>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</si>
  <si>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</si>
  <si>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</si>
  <si>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</si>
  <si>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</si>
  <si>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</si>
  <si>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</si>
  <si>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</si>
  <si>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</si>
  <si>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</si>
  <si>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</si>
  <si>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</si>
  <si>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</si>
  <si>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</si>
  <si>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</si>
  <si>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</si>
  <si>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</si>
  <si>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</si>
  <si>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</si>
  <si>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</si>
  <si>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</si>
  <si>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</si>
  <si>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</si>
  <si>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</si>
  <si>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</si>
  <si>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</si>
  <si>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</si>
  <si>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</si>
  <si>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</si>
  <si>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</si>
  <si>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</si>
  <si>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</si>
  <si>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</si>
  <si>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</si>
  <si>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</si>
  <si>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</si>
  <si>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</si>
  <si>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</si>
  <si>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</si>
  <si>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</si>
  <si>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</si>
  <si>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</si>
  <si>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</si>
  <si>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</si>
  <si>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</si>
  <si>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</si>
  <si>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</si>
  <si>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</si>
  <si>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</si>
  <si>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</si>
  <si>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</si>
  <si>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</si>
  <si>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</si>
  <si>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</si>
  <si>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</si>
  <si>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</si>
  <si>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</si>
  <si>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</si>
  <si>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</si>
  <si>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</si>
  <si>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</si>
  <si>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</si>
  <si>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</si>
  <si>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</si>
  <si>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</si>
  <si>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</si>
  <si>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</si>
  <si>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</si>
  <si>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</si>
  <si>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</si>
  <si>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</si>
  <si>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</si>
  <si>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</si>
  <si>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</si>
  <si>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</si>
  <si>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</si>
  <si>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</si>
  <si>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</si>
  <si>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</si>
  <si>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</si>
  <si>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</si>
  <si>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</si>
  <si>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</si>
  <si>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</si>
  <si>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</si>
  <si>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</si>
  <si>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</si>
  <si>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</si>
  <si>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</si>
  <si>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</si>
  <si>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</si>
  <si>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</si>
  <si>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</si>
  <si>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</si>
  <si>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</si>
  <si>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</si>
  <si>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</si>
  <si>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</si>
  <si>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</si>
  <si>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</si>
  <si>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</si>
  <si>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</si>
  <si>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</si>
  <si>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</si>
  <si>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</si>
  <si>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</si>
  <si>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</si>
  <si>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</si>
  <si>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</si>
  <si>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</si>
  <si>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</si>
  <si>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</si>
  <si>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</si>
  <si>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</si>
  <si>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</si>
  <si>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</si>
  <si>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</si>
  <si>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</si>
  <si>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</si>
  <si>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</si>
  <si>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</si>
  <si>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</si>
  <si>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</si>
  <si>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</si>
  <si>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</si>
  <si>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</si>
  <si>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</si>
  <si>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</si>
  <si>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</si>
  <si>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</si>
  <si>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</si>
  <si>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</si>
  <si>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</si>
  <si>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</si>
  <si>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</si>
  <si>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</si>
  <si>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</si>
  <si>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</si>
  <si>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</si>
  <si>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</si>
  <si>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</si>
  <si>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</si>
  <si>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</si>
  <si>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</si>
  <si>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</si>
  <si>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</si>
  <si>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</si>
  <si>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</si>
  <si>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</si>
  <si>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</si>
  <si>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</si>
  <si>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</si>
  <si>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</si>
  <si>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</si>
  <si>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</si>
  <si>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</si>
  <si>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</si>
  <si>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</si>
  <si>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</si>
  <si>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</si>
  <si>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</si>
  <si>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</si>
  <si>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</si>
  <si>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</si>
  <si>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</si>
  <si>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</si>
  <si>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</si>
  <si>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</si>
  <si>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</si>
  <si>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</si>
  <si>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</si>
  <si>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</si>
  <si>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</si>
  <si>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</si>
  <si>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</si>
  <si>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</si>
  <si>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</si>
  <si>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</si>
  <si>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</si>
  <si>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</si>
  <si>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</si>
  <si>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</si>
  <si>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</si>
  <si>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</si>
  <si>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</si>
  <si>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</si>
  <si>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</si>
  <si>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</si>
  <si>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</si>
  <si>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</si>
  <si>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</si>
  <si>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</si>
  <si>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</si>
  <si>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</si>
  <si>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</si>
  <si>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</si>
  <si>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</si>
  <si>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</si>
  <si>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</si>
  <si>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</si>
  <si>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</si>
  <si>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73032</t>
  </si>
  <si>
    <t>HOESELT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</si>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</sst>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73032</v>
      </c>
      <c r="B6" s="386"/>
      <c r="C6" s="387"/>
    </row>
    <row r="7" spans="1:7" s="384" customFormat="1" ht="15.75" customHeight="1">
      <c r="A7" s="388" t="str">
        <f>txtMunicipality</f>
        <v>HOESELT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9634.851999999999</v>
      </c>
      <c r="D10" s="676">
        <f ca="1">tertiair!C16</f>
        <v>0</v>
      </c>
      <c r="E10" s="676">
        <f ca="1">tertiair!D16</f>
        <v>6892.2722000000003</v>
      </c>
      <c r="F10" s="676">
        <f>tertiair!E16</f>
        <v>81.72694610901975</v>
      </c>
      <c r="G10" s="676">
        <f ca="1">tertiair!F16</f>
        <v>1871.5242417022398</v>
      </c>
      <c r="H10" s="676">
        <f>tertiair!G16</f>
        <v>0</v>
      </c>
      <c r="I10" s="676">
        <f>tertiair!H16</f>
        <v>0</v>
      </c>
      <c r="J10" s="676">
        <f>tertiair!I16</f>
        <v>0</v>
      </c>
      <c r="K10" s="676">
        <f>tertiair!J16</f>
        <v>0</v>
      </c>
      <c r="L10" s="676">
        <f>tertiair!K16</f>
        <v>0</v>
      </c>
      <c r="M10" s="676">
        <f ca="1">tertiair!L16</f>
        <v>0</v>
      </c>
      <c r="N10" s="676">
        <f>tertiair!M16</f>
        <v>0</v>
      </c>
      <c r="O10" s="676">
        <f ca="1">tertiair!N16</f>
        <v>554.89067916972579</v>
      </c>
      <c r="P10" s="676">
        <f>tertiair!O16</f>
        <v>0</v>
      </c>
      <c r="Q10" s="677">
        <f>tertiair!P16</f>
        <v>19.066666666666666</v>
      </c>
      <c r="R10" s="679">
        <f ca="1">SUM(C10:Q10)</f>
        <v>19054.332733647647</v>
      </c>
      <c r="S10" s="68"/>
    </row>
    <row r="11" spans="1:19" s="445" customFormat="1">
      <c r="A11" s="791" t="s">
        <v>220</v>
      </c>
      <c r="B11" s="796"/>
      <c r="C11" s="676">
        <f>huishoudens!B8</f>
        <v>17243.934056757262</v>
      </c>
      <c r="D11" s="676">
        <f>huishoudens!C8</f>
        <v>0</v>
      </c>
      <c r="E11" s="676">
        <f>huishoudens!D8</f>
        <v>19739.653933999998</v>
      </c>
      <c r="F11" s="676">
        <f>huishoudens!E8</f>
        <v>1355.9822339914388</v>
      </c>
      <c r="G11" s="676">
        <f>huishoudens!F8</f>
        <v>41339.961496790558</v>
      </c>
      <c r="H11" s="676">
        <f>huishoudens!G8</f>
        <v>0</v>
      </c>
      <c r="I11" s="676">
        <f>huishoudens!H8</f>
        <v>0</v>
      </c>
      <c r="J11" s="676">
        <f>huishoudens!I8</f>
        <v>0</v>
      </c>
      <c r="K11" s="676">
        <f>huishoudens!J8</f>
        <v>750.09919662190532</v>
      </c>
      <c r="L11" s="676">
        <f>huishoudens!K8</f>
        <v>0</v>
      </c>
      <c r="M11" s="676">
        <f>huishoudens!L8</f>
        <v>0</v>
      </c>
      <c r="N11" s="676">
        <f>huishoudens!M8</f>
        <v>0</v>
      </c>
      <c r="O11" s="676">
        <f>huishoudens!N8</f>
        <v>5958.1741130829259</v>
      </c>
      <c r="P11" s="676">
        <f>huishoudens!O8</f>
        <v>46.9</v>
      </c>
      <c r="Q11" s="677">
        <f>huishoudens!P8</f>
        <v>152.53333333333333</v>
      </c>
      <c r="R11" s="679">
        <f>SUM(C11:Q11)</f>
        <v>86587.238364577424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4180.094000000001</v>
      </c>
      <c r="D13" s="676">
        <f>industrie!C18</f>
        <v>0</v>
      </c>
      <c r="E13" s="676">
        <f>industrie!D18</f>
        <v>1522.5525480000001</v>
      </c>
      <c r="F13" s="676">
        <f>industrie!E18</f>
        <v>52.363687706673353</v>
      </c>
      <c r="G13" s="676">
        <f>industrie!F18</f>
        <v>905.82255717287467</v>
      </c>
      <c r="H13" s="676">
        <f>industrie!G18</f>
        <v>0</v>
      </c>
      <c r="I13" s="676">
        <f>industrie!H18</f>
        <v>0</v>
      </c>
      <c r="J13" s="676">
        <f>industrie!I18</f>
        <v>0</v>
      </c>
      <c r="K13" s="676">
        <f>industrie!J18</f>
        <v>11.566638596410119</v>
      </c>
      <c r="L13" s="676">
        <f>industrie!K18</f>
        <v>0</v>
      </c>
      <c r="M13" s="676">
        <f>industrie!L18</f>
        <v>0</v>
      </c>
      <c r="N13" s="676">
        <f>industrie!M18</f>
        <v>0</v>
      </c>
      <c r="O13" s="676">
        <f>industrie!N18</f>
        <v>126.90680398144109</v>
      </c>
      <c r="P13" s="676">
        <f>industrie!O18</f>
        <v>0</v>
      </c>
      <c r="Q13" s="677">
        <f>industrie!P18</f>
        <v>0</v>
      </c>
      <c r="R13" s="679">
        <f>SUM(C13:Q13)</f>
        <v>6799.3062354574004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31058.880056757262</v>
      </c>
      <c r="D16" s="709">
        <f t="shared" ref="D16:R16" ca="1" si="0">SUM(D9:D15)</f>
        <v>0</v>
      </c>
      <c r="E16" s="709">
        <f t="shared" ca="1" si="0"/>
        <v>28154.478681999997</v>
      </c>
      <c r="F16" s="709">
        <f t="shared" si="0"/>
        <v>1490.0728678071318</v>
      </c>
      <c r="G16" s="709">
        <f t="shared" ca="1" si="0"/>
        <v>44117.308295665673</v>
      </c>
      <c r="H16" s="709">
        <f t="shared" si="0"/>
        <v>0</v>
      </c>
      <c r="I16" s="709">
        <f t="shared" si="0"/>
        <v>0</v>
      </c>
      <c r="J16" s="709">
        <f t="shared" si="0"/>
        <v>0</v>
      </c>
      <c r="K16" s="709">
        <f t="shared" si="0"/>
        <v>761.66583521831546</v>
      </c>
      <c r="L16" s="709">
        <f t="shared" si="0"/>
        <v>0</v>
      </c>
      <c r="M16" s="709">
        <f t="shared" ca="1" si="0"/>
        <v>0</v>
      </c>
      <c r="N16" s="709">
        <f t="shared" si="0"/>
        <v>0</v>
      </c>
      <c r="O16" s="709">
        <f t="shared" ca="1" si="0"/>
        <v>6639.9715962340924</v>
      </c>
      <c r="P16" s="709">
        <f t="shared" si="0"/>
        <v>46.9</v>
      </c>
      <c r="Q16" s="709">
        <f t="shared" si="0"/>
        <v>171.6</v>
      </c>
      <c r="R16" s="709">
        <f t="shared" ca="1" si="0"/>
        <v>112440.87733368248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2.6544546845476225</v>
      </c>
      <c r="D19" s="676">
        <f>transport!C54</f>
        <v>0</v>
      </c>
      <c r="E19" s="676">
        <f>transport!D54</f>
        <v>0</v>
      </c>
      <c r="F19" s="676">
        <f>transport!E54</f>
        <v>0</v>
      </c>
      <c r="G19" s="676">
        <f>transport!F54</f>
        <v>0</v>
      </c>
      <c r="H19" s="676">
        <f>transport!G54</f>
        <v>529.43622026389687</v>
      </c>
      <c r="I19" s="676">
        <f>transport!H54</f>
        <v>0</v>
      </c>
      <c r="J19" s="676">
        <f>transport!I54</f>
        <v>0</v>
      </c>
      <c r="K19" s="676">
        <f>transport!J54</f>
        <v>0</v>
      </c>
      <c r="L19" s="676">
        <f>transport!K54</f>
        <v>0</v>
      </c>
      <c r="M19" s="676">
        <f>transport!L54</f>
        <v>0</v>
      </c>
      <c r="N19" s="676">
        <f>transport!M54</f>
        <v>23.400517054436985</v>
      </c>
      <c r="O19" s="676">
        <f>transport!N54</f>
        <v>0</v>
      </c>
      <c r="P19" s="676">
        <f>transport!O54</f>
        <v>0</v>
      </c>
      <c r="Q19" s="677">
        <f>transport!P54</f>
        <v>0</v>
      </c>
      <c r="R19" s="679">
        <f>SUM(C19:Q19)</f>
        <v>555.49119200288146</v>
      </c>
      <c r="S19" s="68"/>
    </row>
    <row r="20" spans="1:19" s="445" customFormat="1">
      <c r="A20" s="791" t="s">
        <v>302</v>
      </c>
      <c r="B20" s="796"/>
      <c r="C20" s="676">
        <f>transport!B14</f>
        <v>3.9119737951007876</v>
      </c>
      <c r="D20" s="676">
        <f>transport!C14</f>
        <v>0</v>
      </c>
      <c r="E20" s="676">
        <f>transport!D14</f>
        <v>4.7681022873663634</v>
      </c>
      <c r="F20" s="676">
        <f>transport!E14</f>
        <v>343.33394641521761</v>
      </c>
      <c r="G20" s="676">
        <f>transport!F14</f>
        <v>0</v>
      </c>
      <c r="H20" s="676">
        <f>transport!G14</f>
        <v>75067.579525956142</v>
      </c>
      <c r="I20" s="676">
        <f>transport!H14</f>
        <v>11816.83071637369</v>
      </c>
      <c r="J20" s="676">
        <f>transport!I14</f>
        <v>0</v>
      </c>
      <c r="K20" s="676">
        <f>transport!J14</f>
        <v>0</v>
      </c>
      <c r="L20" s="676">
        <f>transport!K14</f>
        <v>0</v>
      </c>
      <c r="M20" s="676">
        <f>transport!L14</f>
        <v>0</v>
      </c>
      <c r="N20" s="676">
        <f>transport!M14</f>
        <v>3881.4556254133045</v>
      </c>
      <c r="O20" s="676">
        <f>transport!N14</f>
        <v>0</v>
      </c>
      <c r="P20" s="676">
        <f>transport!O14</f>
        <v>0</v>
      </c>
      <c r="Q20" s="677">
        <f>transport!P14</f>
        <v>0</v>
      </c>
      <c r="R20" s="679">
        <f>SUM(C20:Q20)</f>
        <v>91117.879890240816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6.56642847964841</v>
      </c>
      <c r="D22" s="794">
        <f t="shared" ref="D22:R22" si="1">SUM(D18:D21)</f>
        <v>0</v>
      </c>
      <c r="E22" s="794">
        <f t="shared" si="1"/>
        <v>4.7681022873663634</v>
      </c>
      <c r="F22" s="794">
        <f t="shared" si="1"/>
        <v>343.33394641521761</v>
      </c>
      <c r="G22" s="794">
        <f t="shared" si="1"/>
        <v>0</v>
      </c>
      <c r="H22" s="794">
        <f t="shared" si="1"/>
        <v>75597.015746220044</v>
      </c>
      <c r="I22" s="794">
        <f t="shared" si="1"/>
        <v>11816.83071637369</v>
      </c>
      <c r="J22" s="794">
        <f t="shared" si="1"/>
        <v>0</v>
      </c>
      <c r="K22" s="794">
        <f t="shared" si="1"/>
        <v>0</v>
      </c>
      <c r="L22" s="794">
        <f t="shared" si="1"/>
        <v>0</v>
      </c>
      <c r="M22" s="794">
        <f t="shared" si="1"/>
        <v>0</v>
      </c>
      <c r="N22" s="794">
        <f t="shared" si="1"/>
        <v>3904.8561424677414</v>
      </c>
      <c r="O22" s="794">
        <f t="shared" si="1"/>
        <v>0</v>
      </c>
      <c r="P22" s="794">
        <f t="shared" si="1"/>
        <v>0</v>
      </c>
      <c r="Q22" s="794">
        <f t="shared" si="1"/>
        <v>0</v>
      </c>
      <c r="R22" s="794">
        <f t="shared" si="1"/>
        <v>91673.371082243699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943.37599999999998</v>
      </c>
      <c r="D24" s="676">
        <f>+landbouw!C8</f>
        <v>0</v>
      </c>
      <c r="E24" s="676">
        <f>+landbouw!D8</f>
        <v>552.05556999999999</v>
      </c>
      <c r="F24" s="676">
        <f>+landbouw!E8</f>
        <v>8.8872340026542673</v>
      </c>
      <c r="G24" s="676">
        <f>+landbouw!F8</f>
        <v>3078.5489669987805</v>
      </c>
      <c r="H24" s="676">
        <f>+landbouw!G8</f>
        <v>0</v>
      </c>
      <c r="I24" s="676">
        <f>+landbouw!H8</f>
        <v>0</v>
      </c>
      <c r="J24" s="676">
        <f>+landbouw!I8</f>
        <v>0</v>
      </c>
      <c r="K24" s="676">
        <f>+landbouw!J8</f>
        <v>116.70019977998255</v>
      </c>
      <c r="L24" s="676">
        <f>+landbouw!K8</f>
        <v>0</v>
      </c>
      <c r="M24" s="676">
        <f>+landbouw!L8</f>
        <v>0</v>
      </c>
      <c r="N24" s="676">
        <f>+landbouw!M8</f>
        <v>0</v>
      </c>
      <c r="O24" s="676">
        <f>+landbouw!N8</f>
        <v>0</v>
      </c>
      <c r="P24" s="676">
        <f>+landbouw!O8</f>
        <v>0</v>
      </c>
      <c r="Q24" s="677">
        <f>+landbouw!P8</f>
        <v>0</v>
      </c>
      <c r="R24" s="679">
        <f>SUM(C24:Q24)</f>
        <v>4699.567970781417</v>
      </c>
      <c r="S24" s="68"/>
    </row>
    <row r="25" spans="1:19" s="445" customFormat="1" ht="15" thickBot="1">
      <c r="A25" s="813" t="s">
        <v>879</v>
      </c>
      <c r="B25" s="979"/>
      <c r="C25" s="980">
        <f>IF(Onbekend_ele_kWh="---",0,Onbekend_ele_kWh)/1000+IF(REST_rest_ele_kWh="---",0,REST_rest_ele_kWh)/1000</f>
        <v>393.01100000000002</v>
      </c>
      <c r="D25" s="980"/>
      <c r="E25" s="980">
        <f>IF(onbekend_gas_kWh="---",0,onbekend_gas_kWh)/1000+IF(REST_rest_gas_kWh="---",0,REST_rest_gas_kWh)/1000</f>
        <v>450.685</v>
      </c>
      <c r="F25" s="980"/>
      <c r="G25" s="980"/>
      <c r="H25" s="980"/>
      <c r="I25" s="980"/>
      <c r="J25" s="980"/>
      <c r="K25" s="980"/>
      <c r="L25" s="980"/>
      <c r="M25" s="980"/>
      <c r="N25" s="980"/>
      <c r="O25" s="980"/>
      <c r="P25" s="980"/>
      <c r="Q25" s="981"/>
      <c r="R25" s="679">
        <f>SUM(C25:Q25)</f>
        <v>843.69600000000003</v>
      </c>
      <c r="S25" s="68"/>
    </row>
    <row r="26" spans="1:19" s="445" customFormat="1" ht="15.75" thickBot="1">
      <c r="A26" s="682" t="s">
        <v>880</v>
      </c>
      <c r="B26" s="799"/>
      <c r="C26" s="794">
        <f>SUM(C24:C25)</f>
        <v>1336.3869999999999</v>
      </c>
      <c r="D26" s="794">
        <f t="shared" ref="D26:R26" si="2">SUM(D24:D25)</f>
        <v>0</v>
      </c>
      <c r="E26" s="794">
        <f t="shared" si="2"/>
        <v>1002.7405699999999</v>
      </c>
      <c r="F26" s="794">
        <f t="shared" si="2"/>
        <v>8.8872340026542673</v>
      </c>
      <c r="G26" s="794">
        <f t="shared" si="2"/>
        <v>3078.5489669987805</v>
      </c>
      <c r="H26" s="794">
        <f t="shared" si="2"/>
        <v>0</v>
      </c>
      <c r="I26" s="794">
        <f t="shared" si="2"/>
        <v>0</v>
      </c>
      <c r="J26" s="794">
        <f t="shared" si="2"/>
        <v>0</v>
      </c>
      <c r="K26" s="794">
        <f t="shared" si="2"/>
        <v>116.70019977998255</v>
      </c>
      <c r="L26" s="794">
        <f t="shared" si="2"/>
        <v>0</v>
      </c>
      <c r="M26" s="794">
        <f t="shared" si="2"/>
        <v>0</v>
      </c>
      <c r="N26" s="794">
        <f t="shared" si="2"/>
        <v>0</v>
      </c>
      <c r="O26" s="794">
        <f t="shared" si="2"/>
        <v>0</v>
      </c>
      <c r="P26" s="794">
        <f t="shared" si="2"/>
        <v>0</v>
      </c>
      <c r="Q26" s="794">
        <f t="shared" si="2"/>
        <v>0</v>
      </c>
      <c r="R26" s="794">
        <f t="shared" si="2"/>
        <v>5543.2639707814169</v>
      </c>
      <c r="S26" s="68"/>
    </row>
    <row r="27" spans="1:19" s="445" customFormat="1" ht="17.25" thickTop="1" thickBot="1">
      <c r="A27" s="683" t="s">
        <v>115</v>
      </c>
      <c r="B27" s="786"/>
      <c r="C27" s="684">
        <f ca="1">C22+C16+C26</f>
        <v>32401.833485236908</v>
      </c>
      <c r="D27" s="684">
        <f t="shared" ref="D27:R27" ca="1" si="3">D22+D16+D26</f>
        <v>0</v>
      </c>
      <c r="E27" s="684">
        <f t="shared" ca="1" si="3"/>
        <v>29161.987354287361</v>
      </c>
      <c r="F27" s="684">
        <f t="shared" si="3"/>
        <v>1842.2940482250037</v>
      </c>
      <c r="G27" s="684">
        <f t="shared" ca="1" si="3"/>
        <v>47195.857262664453</v>
      </c>
      <c r="H27" s="684">
        <f t="shared" si="3"/>
        <v>75597.015746220044</v>
      </c>
      <c r="I27" s="684">
        <f t="shared" si="3"/>
        <v>11816.83071637369</v>
      </c>
      <c r="J27" s="684">
        <f t="shared" si="3"/>
        <v>0</v>
      </c>
      <c r="K27" s="684">
        <f t="shared" si="3"/>
        <v>878.36603499829801</v>
      </c>
      <c r="L27" s="684">
        <f t="shared" si="3"/>
        <v>0</v>
      </c>
      <c r="M27" s="684">
        <f t="shared" ca="1" si="3"/>
        <v>0</v>
      </c>
      <c r="N27" s="684">
        <f t="shared" si="3"/>
        <v>3904.8561424677414</v>
      </c>
      <c r="O27" s="684">
        <f t="shared" ca="1" si="3"/>
        <v>6639.9715962340924</v>
      </c>
      <c r="P27" s="684">
        <f t="shared" si="3"/>
        <v>46.9</v>
      </c>
      <c r="Q27" s="684">
        <f t="shared" si="3"/>
        <v>171.6</v>
      </c>
      <c r="R27" s="684">
        <f t="shared" ca="1" si="3"/>
        <v>209657.51238670759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1889.8396557518163</v>
      </c>
      <c r="D40" s="676">
        <f ca="1">tertiair!C20</f>
        <v>0</v>
      </c>
      <c r="E40" s="676">
        <f ca="1">tertiair!D20</f>
        <v>1392.2389844000002</v>
      </c>
      <c r="F40" s="676">
        <f>tertiair!E20</f>
        <v>18.552016766747485</v>
      </c>
      <c r="G40" s="676">
        <f ca="1">tertiair!F20</f>
        <v>499.69697253449806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3800.3276294530615</v>
      </c>
    </row>
    <row r="41" spans="1:18">
      <c r="A41" s="804" t="s">
        <v>220</v>
      </c>
      <c r="B41" s="811"/>
      <c r="C41" s="676">
        <f ca="1">huishoudens!B12</f>
        <v>3382.3322248882669</v>
      </c>
      <c r="D41" s="676">
        <f ca="1">huishoudens!C12</f>
        <v>0</v>
      </c>
      <c r="E41" s="676">
        <f>huishoudens!D12</f>
        <v>3987.4100946680001</v>
      </c>
      <c r="F41" s="676">
        <f>huishoudens!E12</f>
        <v>307.8079671160566</v>
      </c>
      <c r="G41" s="676">
        <f>huishoudens!F12</f>
        <v>11037.76971964308</v>
      </c>
      <c r="H41" s="676">
        <f>huishoudens!G12</f>
        <v>0</v>
      </c>
      <c r="I41" s="676">
        <f>huishoudens!H12</f>
        <v>0</v>
      </c>
      <c r="J41" s="676">
        <f>huishoudens!I12</f>
        <v>0</v>
      </c>
      <c r="K41" s="676">
        <f>huishoudens!J12</f>
        <v>265.53511560415444</v>
      </c>
      <c r="L41" s="676">
        <f>huishoudens!K12</f>
        <v>0</v>
      </c>
      <c r="M41" s="676">
        <f>huishoudens!L12</f>
        <v>0</v>
      </c>
      <c r="N41" s="676">
        <f>huishoudens!M12</f>
        <v>0</v>
      </c>
      <c r="O41" s="676">
        <f>huishoudens!N12</f>
        <v>0</v>
      </c>
      <c r="P41" s="676">
        <f>huishoudens!O12</f>
        <v>0</v>
      </c>
      <c r="Q41" s="751">
        <f>huishoudens!P12</f>
        <v>0</v>
      </c>
      <c r="R41" s="832">
        <f t="shared" ca="1" si="4"/>
        <v>18980.855121919558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819.90957473661615</v>
      </c>
      <c r="D43" s="676">
        <f ca="1">industrie!C22</f>
        <v>0</v>
      </c>
      <c r="E43" s="676">
        <f>industrie!D22</f>
        <v>307.55561469600002</v>
      </c>
      <c r="F43" s="676">
        <f>industrie!E22</f>
        <v>11.886557109414852</v>
      </c>
      <c r="G43" s="676">
        <f>industrie!F22</f>
        <v>241.85462276515756</v>
      </c>
      <c r="H43" s="676">
        <f>industrie!G22</f>
        <v>0</v>
      </c>
      <c r="I43" s="676">
        <f>industrie!H22</f>
        <v>0</v>
      </c>
      <c r="J43" s="676">
        <f>industrie!I22</f>
        <v>0</v>
      </c>
      <c r="K43" s="676">
        <f>industrie!J22</f>
        <v>4.0945900631291821</v>
      </c>
      <c r="L43" s="676">
        <f>industrie!K22</f>
        <v>0</v>
      </c>
      <c r="M43" s="676">
        <f>industrie!L22</f>
        <v>0</v>
      </c>
      <c r="N43" s="676">
        <f>industrie!M22</f>
        <v>0</v>
      </c>
      <c r="O43" s="676">
        <f>industrie!N22</f>
        <v>0</v>
      </c>
      <c r="P43" s="676">
        <f>industrie!O22</f>
        <v>0</v>
      </c>
      <c r="Q43" s="751">
        <f>industrie!P22</f>
        <v>0</v>
      </c>
      <c r="R43" s="831">
        <f t="shared" ca="1" si="4"/>
        <v>1385.3009593703175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6092.0814553766995</v>
      </c>
      <c r="D46" s="709">
        <f t="shared" ref="D46:Q46" ca="1" si="5">SUM(D39:D45)</f>
        <v>0</v>
      </c>
      <c r="E46" s="709">
        <f t="shared" ca="1" si="5"/>
        <v>5687.2046937639998</v>
      </c>
      <c r="F46" s="709">
        <f t="shared" si="5"/>
        <v>338.24654099221897</v>
      </c>
      <c r="G46" s="709">
        <f t="shared" ca="1" si="5"/>
        <v>11779.321314942736</v>
      </c>
      <c r="H46" s="709">
        <f t="shared" si="5"/>
        <v>0</v>
      </c>
      <c r="I46" s="709">
        <f t="shared" si="5"/>
        <v>0</v>
      </c>
      <c r="J46" s="709">
        <f t="shared" si="5"/>
        <v>0</v>
      </c>
      <c r="K46" s="709">
        <f t="shared" si="5"/>
        <v>269.62970566728364</v>
      </c>
      <c r="L46" s="709">
        <f t="shared" si="5"/>
        <v>0</v>
      </c>
      <c r="M46" s="709">
        <f t="shared" ca="1" si="5"/>
        <v>0</v>
      </c>
      <c r="N46" s="709">
        <f t="shared" si="5"/>
        <v>0</v>
      </c>
      <c r="O46" s="709">
        <f t="shared" ca="1" si="5"/>
        <v>0</v>
      </c>
      <c r="P46" s="709">
        <f t="shared" si="5"/>
        <v>0</v>
      </c>
      <c r="Q46" s="709">
        <f t="shared" si="5"/>
        <v>0</v>
      </c>
      <c r="R46" s="709">
        <f ca="1">SUM(R39:R45)</f>
        <v>24166.483710742938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0.52066121277776511</v>
      </c>
      <c r="D49" s="676">
        <f ca="1">transport!C58</f>
        <v>0</v>
      </c>
      <c r="E49" s="676">
        <f>transport!D58</f>
        <v>0</v>
      </c>
      <c r="F49" s="676">
        <f>transport!E58</f>
        <v>0</v>
      </c>
      <c r="G49" s="676">
        <f>transport!F58</f>
        <v>0</v>
      </c>
      <c r="H49" s="676">
        <f>transport!G58</f>
        <v>141.35947081046046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141.88013202323822</v>
      </c>
    </row>
    <row r="50" spans="1:18">
      <c r="A50" s="807" t="s">
        <v>302</v>
      </c>
      <c r="B50" s="817"/>
      <c r="C50" s="986">
        <f ca="1">transport!B18</f>
        <v>0.76731881405582569</v>
      </c>
      <c r="D50" s="986">
        <f>transport!C18</f>
        <v>0</v>
      </c>
      <c r="E50" s="986">
        <f>transport!D18</f>
        <v>0.96315666204800543</v>
      </c>
      <c r="F50" s="986">
        <f>transport!E18</f>
        <v>77.936805836254393</v>
      </c>
      <c r="G50" s="986">
        <f>transport!F18</f>
        <v>0</v>
      </c>
      <c r="H50" s="986">
        <f>transport!G18</f>
        <v>20043.043733430291</v>
      </c>
      <c r="I50" s="986">
        <f>transport!H18</f>
        <v>2942.3908483770488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23065.1018631197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1.2879800268335908</v>
      </c>
      <c r="D52" s="709">
        <f t="shared" ref="D52:Q52" ca="1" si="6">SUM(D48:D51)</f>
        <v>0</v>
      </c>
      <c r="E52" s="709">
        <f t="shared" si="6"/>
        <v>0.96315666204800543</v>
      </c>
      <c r="F52" s="709">
        <f t="shared" si="6"/>
        <v>77.936805836254393</v>
      </c>
      <c r="G52" s="709">
        <f t="shared" si="6"/>
        <v>0</v>
      </c>
      <c r="H52" s="709">
        <f t="shared" si="6"/>
        <v>20184.403204240753</v>
      </c>
      <c r="I52" s="709">
        <f t="shared" si="6"/>
        <v>2942.3908483770488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23206.981995142938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185.03962230914658</v>
      </c>
      <c r="D54" s="986">
        <f ca="1">+landbouw!C12</f>
        <v>0</v>
      </c>
      <c r="E54" s="986">
        <f>+landbouw!D12</f>
        <v>111.51522514</v>
      </c>
      <c r="F54" s="986">
        <f>+landbouw!E12</f>
        <v>2.0174021186025186</v>
      </c>
      <c r="G54" s="986">
        <f>+landbouw!F12</f>
        <v>821.97257418867446</v>
      </c>
      <c r="H54" s="986">
        <f>+landbouw!G12</f>
        <v>0</v>
      </c>
      <c r="I54" s="986">
        <f>+landbouw!H12</f>
        <v>0</v>
      </c>
      <c r="J54" s="986">
        <f>+landbouw!I12</f>
        <v>0</v>
      </c>
      <c r="K54" s="986">
        <f>+landbouw!J12</f>
        <v>41.311870722113824</v>
      </c>
      <c r="L54" s="986">
        <f>+landbouw!K12</f>
        <v>0</v>
      </c>
      <c r="M54" s="986">
        <f>+landbouw!L12</f>
        <v>0</v>
      </c>
      <c r="N54" s="986">
        <f>+landbouw!M12</f>
        <v>0</v>
      </c>
      <c r="O54" s="986">
        <f>+landbouw!N12</f>
        <v>0</v>
      </c>
      <c r="P54" s="986">
        <f>+landbouw!O12</f>
        <v>0</v>
      </c>
      <c r="Q54" s="987">
        <f>+landbouw!P12</f>
        <v>0</v>
      </c>
      <c r="R54" s="708">
        <f ca="1">SUM(C54:Q54)</f>
        <v>1161.8566944785373</v>
      </c>
    </row>
    <row r="55" spans="1:18" ht="15" thickBot="1">
      <c r="A55" s="807" t="s">
        <v>879</v>
      </c>
      <c r="B55" s="817"/>
      <c r="C55" s="986">
        <f ca="1">C25*'EF ele_warmte'!B12</f>
        <v>77.087616182031368</v>
      </c>
      <c r="D55" s="986"/>
      <c r="E55" s="986">
        <f>E25*EF_CO2_aardgas</f>
        <v>91.03837</v>
      </c>
      <c r="F55" s="986"/>
      <c r="G55" s="986"/>
      <c r="H55" s="986"/>
      <c r="I55" s="986"/>
      <c r="J55" s="986"/>
      <c r="K55" s="986"/>
      <c r="L55" s="986"/>
      <c r="M55" s="986"/>
      <c r="N55" s="986"/>
      <c r="O55" s="986"/>
      <c r="P55" s="986"/>
      <c r="Q55" s="987"/>
      <c r="R55" s="708">
        <f ca="1">SUM(C55:Q55)</f>
        <v>168.12598618203137</v>
      </c>
    </row>
    <row r="56" spans="1:18" ht="15.75" thickBot="1">
      <c r="A56" s="805" t="s">
        <v>880</v>
      </c>
      <c r="B56" s="818"/>
      <c r="C56" s="709">
        <f ca="1">SUM(C54:C55)</f>
        <v>262.12723849117793</v>
      </c>
      <c r="D56" s="709">
        <f t="shared" ref="D56:Q56" ca="1" si="7">SUM(D54:D55)</f>
        <v>0</v>
      </c>
      <c r="E56" s="709">
        <f t="shared" si="7"/>
        <v>202.55359514</v>
      </c>
      <c r="F56" s="709">
        <f t="shared" si="7"/>
        <v>2.0174021186025186</v>
      </c>
      <c r="G56" s="709">
        <f t="shared" si="7"/>
        <v>821.97257418867446</v>
      </c>
      <c r="H56" s="709">
        <f t="shared" si="7"/>
        <v>0</v>
      </c>
      <c r="I56" s="709">
        <f t="shared" si="7"/>
        <v>0</v>
      </c>
      <c r="J56" s="709">
        <f t="shared" si="7"/>
        <v>0</v>
      </c>
      <c r="K56" s="709">
        <f t="shared" si="7"/>
        <v>41.311870722113824</v>
      </c>
      <c r="L56" s="709">
        <f t="shared" si="7"/>
        <v>0</v>
      </c>
      <c r="M56" s="709">
        <f t="shared" si="7"/>
        <v>0</v>
      </c>
      <c r="N56" s="709">
        <f t="shared" si="7"/>
        <v>0</v>
      </c>
      <c r="O56" s="709">
        <f t="shared" si="7"/>
        <v>0</v>
      </c>
      <c r="P56" s="709">
        <f t="shared" si="7"/>
        <v>0</v>
      </c>
      <c r="Q56" s="710">
        <f t="shared" si="7"/>
        <v>0</v>
      </c>
      <c r="R56" s="711">
        <f ca="1">SUM(R54:R55)</f>
        <v>1329.9826806605686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6355.4966738947114</v>
      </c>
      <c r="D61" s="717">
        <f t="shared" ref="D61:Q61" ca="1" si="8">D46+D52+D56</f>
        <v>0</v>
      </c>
      <c r="E61" s="717">
        <f t="shared" ca="1" si="8"/>
        <v>5890.7214455660478</v>
      </c>
      <c r="F61" s="717">
        <f t="shared" si="8"/>
        <v>418.20074894707591</v>
      </c>
      <c r="G61" s="717">
        <f t="shared" ca="1" si="8"/>
        <v>12601.29388913141</v>
      </c>
      <c r="H61" s="717">
        <f t="shared" si="8"/>
        <v>20184.403204240753</v>
      </c>
      <c r="I61" s="717">
        <f t="shared" si="8"/>
        <v>2942.3908483770488</v>
      </c>
      <c r="J61" s="717">
        <f t="shared" si="8"/>
        <v>0</v>
      </c>
      <c r="K61" s="717">
        <f t="shared" si="8"/>
        <v>310.94157638939748</v>
      </c>
      <c r="L61" s="717">
        <f t="shared" si="8"/>
        <v>0</v>
      </c>
      <c r="M61" s="717">
        <f t="shared" ca="1" si="8"/>
        <v>0</v>
      </c>
      <c r="N61" s="717">
        <f t="shared" si="8"/>
        <v>0</v>
      </c>
      <c r="O61" s="717">
        <f t="shared" ca="1" si="8"/>
        <v>0</v>
      </c>
      <c r="P61" s="717">
        <f t="shared" si="8"/>
        <v>0</v>
      </c>
      <c r="Q61" s="717">
        <f t="shared" si="8"/>
        <v>0</v>
      </c>
      <c r="R61" s="717">
        <f ca="1">R46+R52+R56</f>
        <v>48703.448386546443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0.1961462050223311</v>
      </c>
      <c r="D63" s="761">
        <f t="shared" ca="1" si="9"/>
        <v>0</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3643.9299834508902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3643.9299834508902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17243.934056757262</v>
      </c>
      <c r="C4" s="449">
        <f>huishoudens!C8</f>
        <v>0</v>
      </c>
      <c r="D4" s="449">
        <f>huishoudens!D8</f>
        <v>19739.653933999998</v>
      </c>
      <c r="E4" s="449">
        <f>huishoudens!E8</f>
        <v>1355.9822339914388</v>
      </c>
      <c r="F4" s="449">
        <f>huishoudens!F8</f>
        <v>41339.961496790558</v>
      </c>
      <c r="G4" s="449">
        <f>huishoudens!G8</f>
        <v>0</v>
      </c>
      <c r="H4" s="449">
        <f>huishoudens!H8</f>
        <v>0</v>
      </c>
      <c r="I4" s="449">
        <f>huishoudens!I8</f>
        <v>0</v>
      </c>
      <c r="J4" s="449">
        <f>huishoudens!J8</f>
        <v>750.09919662190532</v>
      </c>
      <c r="K4" s="449">
        <f>huishoudens!K8</f>
        <v>0</v>
      </c>
      <c r="L4" s="449">
        <f>huishoudens!L8</f>
        <v>0</v>
      </c>
      <c r="M4" s="449">
        <f>huishoudens!M8</f>
        <v>0</v>
      </c>
      <c r="N4" s="449">
        <f>huishoudens!N8</f>
        <v>5958.1741130829259</v>
      </c>
      <c r="O4" s="449">
        <f>huishoudens!O8</f>
        <v>46.9</v>
      </c>
      <c r="P4" s="450">
        <f>huishoudens!P8</f>
        <v>152.53333333333333</v>
      </c>
      <c r="Q4" s="451">
        <f>SUM(B4:P4)</f>
        <v>86587.238364577424</v>
      </c>
    </row>
    <row r="5" spans="1:17">
      <c r="A5" s="448" t="s">
        <v>155</v>
      </c>
      <c r="B5" s="449">
        <f ca="1">tertiair!B16</f>
        <v>9069.0579999999991</v>
      </c>
      <c r="C5" s="449">
        <f ca="1">tertiair!C16</f>
        <v>0</v>
      </c>
      <c r="D5" s="449">
        <f ca="1">tertiair!D16</f>
        <v>6892.2722000000003</v>
      </c>
      <c r="E5" s="449">
        <f>tertiair!E16</f>
        <v>81.72694610901975</v>
      </c>
      <c r="F5" s="449">
        <f ca="1">tertiair!F16</f>
        <v>1871.5242417022398</v>
      </c>
      <c r="G5" s="449">
        <f>tertiair!G16</f>
        <v>0</v>
      </c>
      <c r="H5" s="449">
        <f>tertiair!H16</f>
        <v>0</v>
      </c>
      <c r="I5" s="449">
        <f>tertiair!I16</f>
        <v>0</v>
      </c>
      <c r="J5" s="449">
        <f>tertiair!J16</f>
        <v>0</v>
      </c>
      <c r="K5" s="449">
        <f>tertiair!K16</f>
        <v>0</v>
      </c>
      <c r="L5" s="449">
        <f ca="1">tertiair!L16</f>
        <v>0</v>
      </c>
      <c r="M5" s="449">
        <f>tertiair!M16</f>
        <v>0</v>
      </c>
      <c r="N5" s="449">
        <f ca="1">tertiair!N16</f>
        <v>554.89067916972579</v>
      </c>
      <c r="O5" s="449">
        <f>tertiair!O16</f>
        <v>0</v>
      </c>
      <c r="P5" s="450">
        <f>tertiair!P16</f>
        <v>19.066666666666666</v>
      </c>
      <c r="Q5" s="448">
        <f t="shared" ref="Q5:Q14" ca="1" si="0">SUM(B5:P5)</f>
        <v>18488.538733647652</v>
      </c>
    </row>
    <row r="6" spans="1:17">
      <c r="A6" s="448" t="s">
        <v>193</v>
      </c>
      <c r="B6" s="449">
        <f>'openbare verlichting'!B8</f>
        <v>565.79399999999998</v>
      </c>
      <c r="C6" s="449"/>
      <c r="D6" s="449"/>
      <c r="E6" s="449"/>
      <c r="F6" s="449"/>
      <c r="G6" s="449"/>
      <c r="H6" s="449"/>
      <c r="I6" s="449"/>
      <c r="J6" s="449"/>
      <c r="K6" s="449"/>
      <c r="L6" s="449"/>
      <c r="M6" s="449"/>
      <c r="N6" s="449"/>
      <c r="O6" s="449"/>
      <c r="P6" s="450"/>
      <c r="Q6" s="448">
        <f t="shared" si="0"/>
        <v>565.79399999999998</v>
      </c>
    </row>
    <row r="7" spans="1:17">
      <c r="A7" s="448" t="s">
        <v>111</v>
      </c>
      <c r="B7" s="449">
        <f>landbouw!B8</f>
        <v>943.37599999999998</v>
      </c>
      <c r="C7" s="449">
        <f>landbouw!C8</f>
        <v>0</v>
      </c>
      <c r="D7" s="449">
        <f>landbouw!D8</f>
        <v>552.05556999999999</v>
      </c>
      <c r="E7" s="449">
        <f>landbouw!E8</f>
        <v>8.8872340026542673</v>
      </c>
      <c r="F7" s="449">
        <f>landbouw!F8</f>
        <v>3078.5489669987805</v>
      </c>
      <c r="G7" s="449">
        <f>landbouw!G8</f>
        <v>0</v>
      </c>
      <c r="H7" s="449">
        <f>landbouw!H8</f>
        <v>0</v>
      </c>
      <c r="I7" s="449">
        <f>landbouw!I8</f>
        <v>0</v>
      </c>
      <c r="J7" s="449">
        <f>landbouw!J8</f>
        <v>116.70019977998255</v>
      </c>
      <c r="K7" s="449">
        <f>landbouw!K8</f>
        <v>0</v>
      </c>
      <c r="L7" s="449">
        <f>landbouw!L8</f>
        <v>0</v>
      </c>
      <c r="M7" s="449">
        <f>landbouw!M8</f>
        <v>0</v>
      </c>
      <c r="N7" s="449">
        <f>landbouw!N8</f>
        <v>0</v>
      </c>
      <c r="O7" s="449">
        <f>landbouw!O8</f>
        <v>0</v>
      </c>
      <c r="P7" s="450">
        <f>landbouw!P8</f>
        <v>0</v>
      </c>
      <c r="Q7" s="448">
        <f t="shared" si="0"/>
        <v>4699.567970781417</v>
      </c>
    </row>
    <row r="8" spans="1:17">
      <c r="A8" s="448" t="s">
        <v>671</v>
      </c>
      <c r="B8" s="449">
        <f>industrie!B18</f>
        <v>4180.094000000001</v>
      </c>
      <c r="C8" s="449">
        <f>industrie!C18</f>
        <v>0</v>
      </c>
      <c r="D8" s="449">
        <f>industrie!D18</f>
        <v>1522.5525480000001</v>
      </c>
      <c r="E8" s="449">
        <f>industrie!E18</f>
        <v>52.363687706673353</v>
      </c>
      <c r="F8" s="449">
        <f>industrie!F18</f>
        <v>905.82255717287467</v>
      </c>
      <c r="G8" s="449">
        <f>industrie!G18</f>
        <v>0</v>
      </c>
      <c r="H8" s="449">
        <f>industrie!H18</f>
        <v>0</v>
      </c>
      <c r="I8" s="449">
        <f>industrie!I18</f>
        <v>0</v>
      </c>
      <c r="J8" s="449">
        <f>industrie!J18</f>
        <v>11.566638596410119</v>
      </c>
      <c r="K8" s="449">
        <f>industrie!K18</f>
        <v>0</v>
      </c>
      <c r="L8" s="449">
        <f>industrie!L18</f>
        <v>0</v>
      </c>
      <c r="M8" s="449">
        <f>industrie!M18</f>
        <v>0</v>
      </c>
      <c r="N8" s="449">
        <f>industrie!N18</f>
        <v>126.90680398144109</v>
      </c>
      <c r="O8" s="449">
        <f>industrie!O18</f>
        <v>0</v>
      </c>
      <c r="P8" s="450">
        <f>industrie!P18</f>
        <v>0</v>
      </c>
      <c r="Q8" s="448">
        <f t="shared" si="0"/>
        <v>6799.3062354574004</v>
      </c>
    </row>
    <row r="9" spans="1:17" s="454" customFormat="1">
      <c r="A9" s="452" t="s">
        <v>568</v>
      </c>
      <c r="B9" s="453">
        <f>transport!B14</f>
        <v>3.9119737951007876</v>
      </c>
      <c r="C9" s="453">
        <f>transport!C14</f>
        <v>0</v>
      </c>
      <c r="D9" s="453">
        <f>transport!D14</f>
        <v>4.7681022873663634</v>
      </c>
      <c r="E9" s="453">
        <f>transport!E14</f>
        <v>343.33394641521761</v>
      </c>
      <c r="F9" s="453">
        <f>transport!F14</f>
        <v>0</v>
      </c>
      <c r="G9" s="453">
        <f>transport!G14</f>
        <v>75067.579525956142</v>
      </c>
      <c r="H9" s="453">
        <f>transport!H14</f>
        <v>11816.83071637369</v>
      </c>
      <c r="I9" s="453">
        <f>transport!I14</f>
        <v>0</v>
      </c>
      <c r="J9" s="453">
        <f>transport!J14</f>
        <v>0</v>
      </c>
      <c r="K9" s="453">
        <f>transport!K14</f>
        <v>0</v>
      </c>
      <c r="L9" s="453">
        <f>transport!L14</f>
        <v>0</v>
      </c>
      <c r="M9" s="453">
        <f>transport!M14</f>
        <v>3881.4556254133045</v>
      </c>
      <c r="N9" s="453">
        <f>transport!N14</f>
        <v>0</v>
      </c>
      <c r="O9" s="453">
        <f>transport!O14</f>
        <v>0</v>
      </c>
      <c r="P9" s="453">
        <f>transport!P14</f>
        <v>0</v>
      </c>
      <c r="Q9" s="452">
        <f>SUM(B9:P9)</f>
        <v>91117.879890240816</v>
      </c>
    </row>
    <row r="10" spans="1:17">
      <c r="A10" s="448" t="s">
        <v>558</v>
      </c>
      <c r="B10" s="449">
        <f>transport!B54</f>
        <v>2.6544546845476225</v>
      </c>
      <c r="C10" s="449">
        <f>transport!C54</f>
        <v>0</v>
      </c>
      <c r="D10" s="449">
        <f>transport!D54</f>
        <v>0</v>
      </c>
      <c r="E10" s="449">
        <f>transport!E54</f>
        <v>0</v>
      </c>
      <c r="F10" s="449">
        <f>transport!F54</f>
        <v>0</v>
      </c>
      <c r="G10" s="449">
        <f>transport!G54</f>
        <v>529.43622026389687</v>
      </c>
      <c r="H10" s="449">
        <f>transport!H54</f>
        <v>0</v>
      </c>
      <c r="I10" s="449">
        <f>transport!I54</f>
        <v>0</v>
      </c>
      <c r="J10" s="449">
        <f>transport!J54</f>
        <v>0</v>
      </c>
      <c r="K10" s="449">
        <f>transport!K54</f>
        <v>0</v>
      </c>
      <c r="L10" s="449">
        <f>transport!L54</f>
        <v>0</v>
      </c>
      <c r="M10" s="449">
        <f>transport!M54</f>
        <v>23.400517054436985</v>
      </c>
      <c r="N10" s="449">
        <f>transport!N54</f>
        <v>0</v>
      </c>
      <c r="O10" s="449">
        <f>transport!O54</f>
        <v>0</v>
      </c>
      <c r="P10" s="450">
        <f>transport!P54</f>
        <v>0</v>
      </c>
      <c r="Q10" s="448">
        <f t="shared" si="0"/>
        <v>555.49119200288146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393.01100000000002</v>
      </c>
      <c r="C14" s="456"/>
      <c r="D14" s="456">
        <f>'SEAP template'!E25</f>
        <v>450.685</v>
      </c>
      <c r="E14" s="456"/>
      <c r="F14" s="456"/>
      <c r="G14" s="456"/>
      <c r="H14" s="456"/>
      <c r="I14" s="456"/>
      <c r="J14" s="456"/>
      <c r="K14" s="456"/>
      <c r="L14" s="456"/>
      <c r="M14" s="456"/>
      <c r="N14" s="456"/>
      <c r="O14" s="456"/>
      <c r="P14" s="457"/>
      <c r="Q14" s="448">
        <f t="shared" si="0"/>
        <v>843.69600000000003</v>
      </c>
    </row>
    <row r="15" spans="1:17" s="461" customFormat="1">
      <c r="A15" s="458" t="s">
        <v>562</v>
      </c>
      <c r="B15" s="459">
        <f ca="1">SUM(B4:B14)</f>
        <v>32401.833485236912</v>
      </c>
      <c r="C15" s="459">
        <f t="shared" ref="C15:Q15" ca="1" si="1">SUM(C4:C14)</f>
        <v>0</v>
      </c>
      <c r="D15" s="459">
        <f t="shared" ca="1" si="1"/>
        <v>29161.987354287365</v>
      </c>
      <c r="E15" s="459">
        <f t="shared" si="1"/>
        <v>1842.2940482250037</v>
      </c>
      <c r="F15" s="459">
        <f t="shared" ca="1" si="1"/>
        <v>47195.857262664453</v>
      </c>
      <c r="G15" s="459">
        <f t="shared" si="1"/>
        <v>75597.015746220044</v>
      </c>
      <c r="H15" s="459">
        <f t="shared" si="1"/>
        <v>11816.83071637369</v>
      </c>
      <c r="I15" s="459">
        <f t="shared" si="1"/>
        <v>0</v>
      </c>
      <c r="J15" s="459">
        <f t="shared" si="1"/>
        <v>878.36603499829801</v>
      </c>
      <c r="K15" s="459">
        <f t="shared" si="1"/>
        <v>0</v>
      </c>
      <c r="L15" s="459">
        <f t="shared" ca="1" si="1"/>
        <v>0</v>
      </c>
      <c r="M15" s="459">
        <f t="shared" si="1"/>
        <v>3904.8561424677414</v>
      </c>
      <c r="N15" s="459">
        <f t="shared" ca="1" si="1"/>
        <v>6639.9715962340924</v>
      </c>
      <c r="O15" s="459">
        <f t="shared" si="1"/>
        <v>46.9</v>
      </c>
      <c r="P15" s="459">
        <f t="shared" si="1"/>
        <v>171.6</v>
      </c>
      <c r="Q15" s="459">
        <f t="shared" ca="1" si="1"/>
        <v>209657.51238670756</v>
      </c>
    </row>
    <row r="17" spans="1:17">
      <c r="A17" s="462" t="s">
        <v>563</v>
      </c>
      <c r="B17" s="766">
        <f ca="1">huishoudens!B10</f>
        <v>0.19614620502233107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3382.3322248882669</v>
      </c>
      <c r="C22" s="449">
        <f t="shared" ref="C22:C32" ca="1" si="3">C4*$C$17</f>
        <v>0</v>
      </c>
      <c r="D22" s="449">
        <f t="shared" ref="D22:D32" si="4">D4*$D$17</f>
        <v>3987.4100946680001</v>
      </c>
      <c r="E22" s="449">
        <f t="shared" ref="E22:E32" si="5">E4*$E$17</f>
        <v>307.8079671160566</v>
      </c>
      <c r="F22" s="449">
        <f t="shared" ref="F22:F32" si="6">F4*$F$17</f>
        <v>11037.76971964308</v>
      </c>
      <c r="G22" s="449">
        <f t="shared" ref="G22:G32" si="7">G4*$G$17</f>
        <v>0</v>
      </c>
      <c r="H22" s="449">
        <f t="shared" ref="H22:H32" si="8">H4*$H$17</f>
        <v>0</v>
      </c>
      <c r="I22" s="449">
        <f t="shared" ref="I22:I32" si="9">I4*$I$17</f>
        <v>0</v>
      </c>
      <c r="J22" s="449">
        <f t="shared" ref="J22:J32" si="10">J4*$J$17</f>
        <v>265.53511560415444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18980.855121919558</v>
      </c>
    </row>
    <row r="23" spans="1:17">
      <c r="A23" s="448" t="s">
        <v>155</v>
      </c>
      <c r="B23" s="449">
        <f t="shared" ca="1" si="2"/>
        <v>1778.8613098274116</v>
      </c>
      <c r="C23" s="449">
        <f t="shared" ca="1" si="3"/>
        <v>0</v>
      </c>
      <c r="D23" s="449">
        <f t="shared" ca="1" si="4"/>
        <v>1392.2389844000002</v>
      </c>
      <c r="E23" s="449">
        <f t="shared" si="5"/>
        <v>18.552016766747485</v>
      </c>
      <c r="F23" s="449">
        <f t="shared" ca="1" si="6"/>
        <v>499.69697253449806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3689.349283528657</v>
      </c>
    </row>
    <row r="24" spans="1:17">
      <c r="A24" s="448" t="s">
        <v>193</v>
      </c>
      <c r="B24" s="449">
        <f t="shared" ca="1" si="2"/>
        <v>110.97834592440478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110.97834592440478</v>
      </c>
    </row>
    <row r="25" spans="1:17">
      <c r="A25" s="448" t="s">
        <v>111</v>
      </c>
      <c r="B25" s="449">
        <f t="shared" ca="1" si="2"/>
        <v>185.03962230914658</v>
      </c>
      <c r="C25" s="449">
        <f t="shared" ca="1" si="3"/>
        <v>0</v>
      </c>
      <c r="D25" s="449">
        <f t="shared" si="4"/>
        <v>111.51522514</v>
      </c>
      <c r="E25" s="449">
        <f t="shared" si="5"/>
        <v>2.0174021186025186</v>
      </c>
      <c r="F25" s="449">
        <f t="shared" si="6"/>
        <v>821.97257418867446</v>
      </c>
      <c r="G25" s="449">
        <f t="shared" si="7"/>
        <v>0</v>
      </c>
      <c r="H25" s="449">
        <f t="shared" si="8"/>
        <v>0</v>
      </c>
      <c r="I25" s="449">
        <f t="shared" si="9"/>
        <v>0</v>
      </c>
      <c r="J25" s="449">
        <f t="shared" si="10"/>
        <v>41.311870722113824</v>
      </c>
      <c r="K25" s="449">
        <f t="shared" si="11"/>
        <v>0</v>
      </c>
      <c r="L25" s="449">
        <f t="shared" si="12"/>
        <v>0</v>
      </c>
      <c r="M25" s="449">
        <f t="shared" si="13"/>
        <v>0</v>
      </c>
      <c r="N25" s="449">
        <f t="shared" si="14"/>
        <v>0</v>
      </c>
      <c r="O25" s="449">
        <f t="shared" si="15"/>
        <v>0</v>
      </c>
      <c r="P25" s="450">
        <f t="shared" si="16"/>
        <v>0</v>
      </c>
      <c r="Q25" s="448">
        <f t="shared" ca="1" si="17"/>
        <v>1161.8566944785373</v>
      </c>
    </row>
    <row r="26" spans="1:17">
      <c r="A26" s="448" t="s">
        <v>671</v>
      </c>
      <c r="B26" s="449">
        <f t="shared" ca="1" si="2"/>
        <v>819.90957473661615</v>
      </c>
      <c r="C26" s="449">
        <f t="shared" ca="1" si="3"/>
        <v>0</v>
      </c>
      <c r="D26" s="449">
        <f t="shared" si="4"/>
        <v>307.55561469600002</v>
      </c>
      <c r="E26" s="449">
        <f t="shared" si="5"/>
        <v>11.886557109414852</v>
      </c>
      <c r="F26" s="449">
        <f t="shared" si="6"/>
        <v>241.85462276515756</v>
      </c>
      <c r="G26" s="449">
        <f t="shared" si="7"/>
        <v>0</v>
      </c>
      <c r="H26" s="449">
        <f t="shared" si="8"/>
        <v>0</v>
      </c>
      <c r="I26" s="449">
        <f t="shared" si="9"/>
        <v>0</v>
      </c>
      <c r="J26" s="449">
        <f t="shared" si="10"/>
        <v>4.0945900631291821</v>
      </c>
      <c r="K26" s="449">
        <f t="shared" si="11"/>
        <v>0</v>
      </c>
      <c r="L26" s="449">
        <f t="shared" si="12"/>
        <v>0</v>
      </c>
      <c r="M26" s="449">
        <f t="shared" si="13"/>
        <v>0</v>
      </c>
      <c r="N26" s="449">
        <f t="shared" si="14"/>
        <v>0</v>
      </c>
      <c r="O26" s="449">
        <f t="shared" si="15"/>
        <v>0</v>
      </c>
      <c r="P26" s="450">
        <f t="shared" si="16"/>
        <v>0</v>
      </c>
      <c r="Q26" s="448">
        <f t="shared" ca="1" si="17"/>
        <v>1385.3009593703175</v>
      </c>
    </row>
    <row r="27" spans="1:17" s="454" customFormat="1">
      <c r="A27" s="452" t="s">
        <v>568</v>
      </c>
      <c r="B27" s="760">
        <f t="shared" ca="1" si="2"/>
        <v>0.76731881405582569</v>
      </c>
      <c r="C27" s="453">
        <f t="shared" ca="1" si="3"/>
        <v>0</v>
      </c>
      <c r="D27" s="453">
        <f t="shared" si="4"/>
        <v>0.96315666204800543</v>
      </c>
      <c r="E27" s="453">
        <f t="shared" si="5"/>
        <v>77.936805836254393</v>
      </c>
      <c r="F27" s="453">
        <f t="shared" si="6"/>
        <v>0</v>
      </c>
      <c r="G27" s="453">
        <f t="shared" si="7"/>
        <v>20043.043733430291</v>
      </c>
      <c r="H27" s="453">
        <f t="shared" si="8"/>
        <v>2942.3908483770488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23065.1018631197</v>
      </c>
    </row>
    <row r="28" spans="1:17">
      <c r="A28" s="448" t="s">
        <v>558</v>
      </c>
      <c r="B28" s="449">
        <f t="shared" ca="1" si="2"/>
        <v>0.52066121277776511</v>
      </c>
      <c r="C28" s="449">
        <f t="shared" ca="1" si="3"/>
        <v>0</v>
      </c>
      <c r="D28" s="449">
        <f t="shared" si="4"/>
        <v>0</v>
      </c>
      <c r="E28" s="449">
        <f t="shared" si="5"/>
        <v>0</v>
      </c>
      <c r="F28" s="449">
        <f t="shared" si="6"/>
        <v>0</v>
      </c>
      <c r="G28" s="449">
        <f t="shared" si="7"/>
        <v>141.35947081046046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141.88013202323822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77.087616182031368</v>
      </c>
      <c r="C32" s="449">
        <f t="shared" ca="1" si="3"/>
        <v>0</v>
      </c>
      <c r="D32" s="449">
        <f t="shared" si="4"/>
        <v>91.03837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168.12598618203137</v>
      </c>
    </row>
    <row r="33" spans="1:17" s="461" customFormat="1">
      <c r="A33" s="458" t="s">
        <v>562</v>
      </c>
      <c r="B33" s="459">
        <f ca="1">SUM(B22:B32)</f>
        <v>6355.4966738947114</v>
      </c>
      <c r="C33" s="459">
        <f t="shared" ref="C33:Q33" ca="1" si="18">SUM(C22:C32)</f>
        <v>0</v>
      </c>
      <c r="D33" s="459">
        <f t="shared" ca="1" si="18"/>
        <v>5890.7214455660487</v>
      </c>
      <c r="E33" s="459">
        <f t="shared" si="18"/>
        <v>418.20074894707591</v>
      </c>
      <c r="F33" s="459">
        <f t="shared" ca="1" si="18"/>
        <v>12601.29388913141</v>
      </c>
      <c r="G33" s="459">
        <f t="shared" si="18"/>
        <v>20184.403204240753</v>
      </c>
      <c r="H33" s="459">
        <f t="shared" si="18"/>
        <v>2942.3908483770488</v>
      </c>
      <c r="I33" s="459">
        <f t="shared" si="18"/>
        <v>0</v>
      </c>
      <c r="J33" s="459">
        <f t="shared" si="18"/>
        <v>310.94157638939748</v>
      </c>
      <c r="K33" s="459">
        <f t="shared" si="18"/>
        <v>0</v>
      </c>
      <c r="L33" s="459">
        <f t="shared" ca="1" si="18"/>
        <v>0</v>
      </c>
      <c r="M33" s="459">
        <f t="shared" si="18"/>
        <v>0</v>
      </c>
      <c r="N33" s="459">
        <f t="shared" ca="1" si="18"/>
        <v>0</v>
      </c>
      <c r="O33" s="459">
        <f t="shared" si="18"/>
        <v>0</v>
      </c>
      <c r="P33" s="459">
        <f t="shared" si="18"/>
        <v>0</v>
      </c>
      <c r="Q33" s="459">
        <f t="shared" ca="1" si="18"/>
        <v>48703.448386546443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3643.9299834508902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3643.9299834508902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0.19614620502233107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0.19614620502233107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0.19614620502233107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0.19614620502233107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3832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1624</v>
      </c>
      <c r="C14" s="327"/>
      <c r="D14" s="327"/>
      <c r="E14" s="327"/>
      <c r="F14" s="327"/>
    </row>
    <row r="15" spans="1:6">
      <c r="A15" s="1295" t="s">
        <v>183</v>
      </c>
      <c r="B15" s="1296">
        <v>5</v>
      </c>
      <c r="C15" s="327"/>
      <c r="D15" s="327"/>
      <c r="E15" s="327"/>
      <c r="F15" s="327"/>
    </row>
    <row r="16" spans="1:6">
      <c r="A16" s="1295" t="s">
        <v>6</v>
      </c>
      <c r="B16" s="1296">
        <v>81</v>
      </c>
      <c r="C16" s="327"/>
      <c r="D16" s="327"/>
      <c r="E16" s="327"/>
      <c r="F16" s="327"/>
    </row>
    <row r="17" spans="1:6">
      <c r="A17" s="1295" t="s">
        <v>7</v>
      </c>
      <c r="B17" s="1296">
        <v>291</v>
      </c>
      <c r="C17" s="327"/>
      <c r="D17" s="327"/>
      <c r="E17" s="327"/>
      <c r="F17" s="327"/>
    </row>
    <row r="18" spans="1:6">
      <c r="A18" s="1295" t="s">
        <v>8</v>
      </c>
      <c r="B18" s="1296">
        <v>278</v>
      </c>
      <c r="C18" s="327"/>
      <c r="D18" s="327"/>
      <c r="E18" s="327"/>
      <c r="F18" s="327"/>
    </row>
    <row r="19" spans="1:6">
      <c r="A19" s="1295" t="s">
        <v>9</v>
      </c>
      <c r="B19" s="1296">
        <v>249</v>
      </c>
      <c r="C19" s="327"/>
      <c r="D19" s="327"/>
      <c r="E19" s="327"/>
      <c r="F19" s="327"/>
    </row>
    <row r="20" spans="1:6">
      <c r="A20" s="1295" t="s">
        <v>10</v>
      </c>
      <c r="B20" s="1296">
        <v>223</v>
      </c>
      <c r="C20" s="327"/>
      <c r="D20" s="327"/>
      <c r="E20" s="327"/>
      <c r="F20" s="327"/>
    </row>
    <row r="21" spans="1:6">
      <c r="A21" s="1295" t="s">
        <v>11</v>
      </c>
      <c r="B21" s="1296">
        <v>2403</v>
      </c>
      <c r="C21" s="327"/>
      <c r="D21" s="327"/>
      <c r="E21" s="327"/>
      <c r="F21" s="327"/>
    </row>
    <row r="22" spans="1:6">
      <c r="A22" s="1295" t="s">
        <v>12</v>
      </c>
      <c r="B22" s="1296">
        <v>7394</v>
      </c>
      <c r="C22" s="327"/>
      <c r="D22" s="327"/>
      <c r="E22" s="327"/>
      <c r="F22" s="327"/>
    </row>
    <row r="23" spans="1:6">
      <c r="A23" s="1295" t="s">
        <v>13</v>
      </c>
      <c r="B23" s="1296">
        <v>85</v>
      </c>
      <c r="C23" s="327"/>
      <c r="D23" s="327"/>
      <c r="E23" s="327"/>
      <c r="F23" s="327"/>
    </row>
    <row r="24" spans="1:6">
      <c r="A24" s="1295" t="s">
        <v>14</v>
      </c>
      <c r="B24" s="1296">
        <v>7</v>
      </c>
      <c r="C24" s="327"/>
      <c r="D24" s="327"/>
      <c r="E24" s="327"/>
      <c r="F24" s="327"/>
    </row>
    <row r="25" spans="1:6">
      <c r="A25" s="1295" t="s">
        <v>15</v>
      </c>
      <c r="B25" s="1296">
        <v>686</v>
      </c>
      <c r="C25" s="327"/>
      <c r="D25" s="327"/>
      <c r="E25" s="327"/>
      <c r="F25" s="327"/>
    </row>
    <row r="26" spans="1:6">
      <c r="A26" s="1295" t="s">
        <v>16</v>
      </c>
      <c r="B26" s="1296">
        <v>67</v>
      </c>
      <c r="C26" s="327"/>
      <c r="D26" s="327"/>
      <c r="E26" s="327"/>
      <c r="F26" s="327"/>
    </row>
    <row r="27" spans="1:6">
      <c r="A27" s="1295" t="s">
        <v>17</v>
      </c>
      <c r="B27" s="1296">
        <v>35</v>
      </c>
      <c r="C27" s="327"/>
      <c r="D27" s="327"/>
      <c r="E27" s="327"/>
      <c r="F27" s="327"/>
    </row>
    <row r="28" spans="1:6" s="44" customFormat="1">
      <c r="A28" s="1297" t="s">
        <v>18</v>
      </c>
      <c r="B28" s="1298">
        <v>0</v>
      </c>
      <c r="C28" s="333"/>
      <c r="D28" s="333"/>
      <c r="E28" s="333"/>
      <c r="F28" s="333"/>
    </row>
    <row r="29" spans="1:6">
      <c r="A29" s="1297" t="s">
        <v>961</v>
      </c>
      <c r="B29" s="1298">
        <v>48</v>
      </c>
      <c r="C29" s="333"/>
      <c r="D29" s="333"/>
      <c r="E29" s="333"/>
      <c r="F29" s="333"/>
    </row>
    <row r="30" spans="1:6">
      <c r="A30" s="1290" t="s">
        <v>962</v>
      </c>
      <c r="B30" s="1299">
        <v>42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32662</v>
      </c>
    </row>
    <row r="39" spans="1:6">
      <c r="A39" s="1295" t="s">
        <v>29</v>
      </c>
      <c r="B39" s="1295" t="s">
        <v>30</v>
      </c>
      <c r="C39" s="1296">
        <v>1281</v>
      </c>
      <c r="D39" s="1296">
        <v>21884317</v>
      </c>
      <c r="E39" s="1296">
        <v>3840</v>
      </c>
      <c r="F39" s="1296">
        <v>14623923</v>
      </c>
    </row>
    <row r="40" spans="1:6">
      <c r="A40" s="1295" t="s">
        <v>29</v>
      </c>
      <c r="B40" s="1295" t="s">
        <v>28</v>
      </c>
      <c r="C40" s="1296">
        <v>0</v>
      </c>
      <c r="D40" s="1296">
        <v>0</v>
      </c>
      <c r="E40" s="1296">
        <v>0</v>
      </c>
      <c r="F40" s="1296">
        <v>0</v>
      </c>
    </row>
    <row r="41" spans="1:6">
      <c r="A41" s="1295" t="s">
        <v>31</v>
      </c>
      <c r="B41" s="1295" t="s">
        <v>32</v>
      </c>
      <c r="C41" s="1296">
        <v>11</v>
      </c>
      <c r="D41" s="1296">
        <v>412499</v>
      </c>
      <c r="E41" s="1296">
        <v>51</v>
      </c>
      <c r="F41" s="1296">
        <v>458350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178878</v>
      </c>
      <c r="E44" s="1296">
        <v>17</v>
      </c>
      <c r="F44" s="1296">
        <v>426687</v>
      </c>
    </row>
    <row r="45" spans="1:6">
      <c r="A45" s="1295" t="s">
        <v>31</v>
      </c>
      <c r="B45" s="1295" t="s">
        <v>36</v>
      </c>
      <c r="C45" s="1296">
        <v>4</v>
      </c>
      <c r="D45" s="1296">
        <v>389593</v>
      </c>
      <c r="E45" s="1296">
        <v>8</v>
      </c>
      <c r="F45" s="1296">
        <v>644339</v>
      </c>
    </row>
    <row r="46" spans="1:6">
      <c r="A46" s="1295" t="s">
        <v>31</v>
      </c>
      <c r="B46" s="1295" t="s">
        <v>37</v>
      </c>
      <c r="C46" s="1296">
        <v>0</v>
      </c>
      <c r="D46" s="1296">
        <v>0</v>
      </c>
      <c r="E46" s="1296">
        <v>0</v>
      </c>
      <c r="F46" s="1296">
        <v>0</v>
      </c>
    </row>
    <row r="47" spans="1:6">
      <c r="A47" s="1295" t="s">
        <v>31</v>
      </c>
      <c r="B47" s="1295" t="s">
        <v>38</v>
      </c>
      <c r="C47" s="1296">
        <v>0</v>
      </c>
      <c r="D47" s="1296">
        <v>0</v>
      </c>
      <c r="E47" s="1296">
        <v>5</v>
      </c>
      <c r="F47" s="1296">
        <v>143381</v>
      </c>
    </row>
    <row r="48" spans="1:6">
      <c r="A48" s="1295" t="s">
        <v>31</v>
      </c>
      <c r="B48" s="1295" t="s">
        <v>28</v>
      </c>
      <c r="C48" s="1296">
        <v>3</v>
      </c>
      <c r="D48" s="1296">
        <v>390682</v>
      </c>
      <c r="E48" s="1296">
        <v>2</v>
      </c>
      <c r="F48" s="1296">
        <v>51944</v>
      </c>
    </row>
    <row r="49" spans="1:6">
      <c r="A49" s="1295" t="s">
        <v>31</v>
      </c>
      <c r="B49" s="1295" t="s">
        <v>39</v>
      </c>
      <c r="C49" s="1296">
        <v>0</v>
      </c>
      <c r="D49" s="1296">
        <v>0</v>
      </c>
      <c r="E49" s="1296">
        <v>0</v>
      </c>
      <c r="F49" s="1296">
        <v>0</v>
      </c>
    </row>
    <row r="50" spans="1:6">
      <c r="A50" s="1295" t="s">
        <v>31</v>
      </c>
      <c r="B50" s="1295" t="s">
        <v>40</v>
      </c>
      <c r="C50" s="1296">
        <v>5</v>
      </c>
      <c r="D50" s="1296">
        <v>316322</v>
      </c>
      <c r="E50" s="1296">
        <v>15</v>
      </c>
      <c r="F50" s="1296">
        <v>2455393</v>
      </c>
    </row>
    <row r="51" spans="1:6">
      <c r="A51" s="1295" t="s">
        <v>41</v>
      </c>
      <c r="B51" s="1295" t="s">
        <v>42</v>
      </c>
      <c r="C51" s="1296">
        <v>8</v>
      </c>
      <c r="D51" s="1296">
        <v>612035</v>
      </c>
      <c r="E51" s="1296">
        <v>65</v>
      </c>
      <c r="F51" s="1296">
        <v>943376</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50</v>
      </c>
      <c r="F54" s="1296">
        <v>565794</v>
      </c>
    </row>
    <row r="55" spans="1:6">
      <c r="A55" s="1295" t="s">
        <v>45</v>
      </c>
      <c r="B55" s="1295" t="s">
        <v>28</v>
      </c>
      <c r="C55" s="1296">
        <v>0</v>
      </c>
      <c r="D55" s="1296">
        <v>0</v>
      </c>
      <c r="E55" s="1296">
        <v>0</v>
      </c>
      <c r="F55" s="1296">
        <v>0</v>
      </c>
    </row>
    <row r="56" spans="1:6">
      <c r="A56" s="1295" t="s">
        <v>47</v>
      </c>
      <c r="B56" s="1295" t="s">
        <v>28</v>
      </c>
      <c r="C56" s="1296">
        <v>12</v>
      </c>
      <c r="D56" s="1296">
        <v>450685</v>
      </c>
      <c r="E56" s="1296">
        <v>73</v>
      </c>
      <c r="F56" s="1296">
        <v>393011</v>
      </c>
    </row>
    <row r="57" spans="1:6">
      <c r="A57" s="1295" t="s">
        <v>48</v>
      </c>
      <c r="B57" s="1295" t="s">
        <v>49</v>
      </c>
      <c r="C57" s="1296">
        <v>14</v>
      </c>
      <c r="D57" s="1296">
        <v>534283</v>
      </c>
      <c r="E57" s="1296">
        <v>72</v>
      </c>
      <c r="F57" s="1296">
        <v>912308</v>
      </c>
    </row>
    <row r="58" spans="1:6">
      <c r="A58" s="1295" t="s">
        <v>48</v>
      </c>
      <c r="B58" s="1295" t="s">
        <v>50</v>
      </c>
      <c r="C58" s="1296">
        <v>8</v>
      </c>
      <c r="D58" s="1296">
        <v>201728</v>
      </c>
      <c r="E58" s="1296">
        <v>18</v>
      </c>
      <c r="F58" s="1296">
        <v>304177</v>
      </c>
    </row>
    <row r="59" spans="1:6">
      <c r="A59" s="1295" t="s">
        <v>48</v>
      </c>
      <c r="B59" s="1295" t="s">
        <v>51</v>
      </c>
      <c r="C59" s="1296">
        <v>40</v>
      </c>
      <c r="D59" s="1296">
        <v>4298319</v>
      </c>
      <c r="E59" s="1296">
        <v>106</v>
      </c>
      <c r="F59" s="1296">
        <v>5016258</v>
      </c>
    </row>
    <row r="60" spans="1:6">
      <c r="A60" s="1295" t="s">
        <v>48</v>
      </c>
      <c r="B60" s="1295" t="s">
        <v>52</v>
      </c>
      <c r="C60" s="1296">
        <v>16</v>
      </c>
      <c r="D60" s="1296">
        <v>487805</v>
      </c>
      <c r="E60" s="1296">
        <v>39</v>
      </c>
      <c r="F60" s="1296">
        <v>845337</v>
      </c>
    </row>
    <row r="61" spans="1:6">
      <c r="A61" s="1295" t="s">
        <v>48</v>
      </c>
      <c r="B61" s="1295" t="s">
        <v>53</v>
      </c>
      <c r="C61" s="1296">
        <v>45</v>
      </c>
      <c r="D61" s="1296">
        <v>1990287</v>
      </c>
      <c r="E61" s="1296">
        <v>137</v>
      </c>
      <c r="F61" s="1296">
        <v>1809755</v>
      </c>
    </row>
    <row r="62" spans="1:6">
      <c r="A62" s="1295" t="s">
        <v>48</v>
      </c>
      <c r="B62" s="1295" t="s">
        <v>54</v>
      </c>
      <c r="C62" s="1296">
        <v>0</v>
      </c>
      <c r="D62" s="1296">
        <v>0</v>
      </c>
      <c r="E62" s="1296">
        <v>11</v>
      </c>
      <c r="F62" s="1296">
        <v>181223</v>
      </c>
    </row>
    <row r="63" spans="1:6">
      <c r="A63" s="1295" t="s">
        <v>48</v>
      </c>
      <c r="B63" s="1295" t="s">
        <v>28</v>
      </c>
      <c r="C63" s="1296">
        <v>2</v>
      </c>
      <c r="D63" s="1296">
        <v>128678</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32559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19077088</v>
      </c>
      <c r="E73" s="447"/>
      <c r="F73" s="327"/>
    </row>
    <row r="74" spans="1:6">
      <c r="A74" s="1295" t="s">
        <v>63</v>
      </c>
      <c r="B74" s="1295" t="s">
        <v>755</v>
      </c>
      <c r="C74" s="1309" t="s">
        <v>749</v>
      </c>
      <c r="D74" s="1310">
        <v>254214.0541427198</v>
      </c>
      <c r="E74" s="447"/>
      <c r="F74" s="327"/>
    </row>
    <row r="75" spans="1:6">
      <c r="A75" s="1295" t="s">
        <v>64</v>
      </c>
      <c r="B75" s="1295" t="s">
        <v>754</v>
      </c>
      <c r="C75" s="1309" t="s">
        <v>750</v>
      </c>
      <c r="D75" s="1310">
        <v>16950645</v>
      </c>
      <c r="E75" s="447"/>
      <c r="F75" s="327"/>
    </row>
    <row r="76" spans="1:6">
      <c r="A76" s="1295" t="s">
        <v>64</v>
      </c>
      <c r="B76" s="1295" t="s">
        <v>755</v>
      </c>
      <c r="C76" s="1309" t="s">
        <v>751</v>
      </c>
      <c r="D76" s="1310">
        <v>9630.0541427198041</v>
      </c>
      <c r="E76" s="447"/>
      <c r="F76" s="327"/>
    </row>
    <row r="77" spans="1:6">
      <c r="A77" s="1295" t="s">
        <v>65</v>
      </c>
      <c r="B77" s="1295" t="s">
        <v>754</v>
      </c>
      <c r="C77" s="1309" t="s">
        <v>752</v>
      </c>
      <c r="D77" s="1310">
        <v>57744895</v>
      </c>
      <c r="E77" s="447"/>
      <c r="F77" s="327"/>
    </row>
    <row r="78" spans="1:6">
      <c r="A78" s="1290" t="s">
        <v>65</v>
      </c>
      <c r="B78" s="1290" t="s">
        <v>755</v>
      </c>
      <c r="C78" s="1290" t="s">
        <v>753</v>
      </c>
      <c r="D78" s="1311">
        <v>9381431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146241.89171456039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2620.0110567572601</v>
      </c>
      <c r="C91" s="327"/>
      <c r="D91" s="327"/>
      <c r="E91" s="327"/>
      <c r="F91" s="327"/>
    </row>
    <row r="92" spans="1:6">
      <c r="A92" s="1290" t="s">
        <v>68</v>
      </c>
      <c r="B92" s="1291">
        <v>1023.9189266936298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314</v>
      </c>
      <c r="C97" s="327"/>
      <c r="D97" s="327"/>
      <c r="E97" s="327"/>
      <c r="F97" s="327"/>
    </row>
    <row r="98" spans="1:6">
      <c r="A98" s="1295" t="s">
        <v>71</v>
      </c>
      <c r="B98" s="1296">
        <v>1</v>
      </c>
      <c r="C98" s="327"/>
      <c r="D98" s="327"/>
      <c r="E98" s="327"/>
      <c r="F98" s="327"/>
    </row>
    <row r="99" spans="1:6">
      <c r="A99" s="1295" t="s">
        <v>72</v>
      </c>
      <c r="B99" s="1296">
        <v>24</v>
      </c>
      <c r="C99" s="327"/>
      <c r="D99" s="327"/>
      <c r="E99" s="327"/>
      <c r="F99" s="327"/>
    </row>
    <row r="100" spans="1:6">
      <c r="A100" s="1295" t="s">
        <v>73</v>
      </c>
      <c r="B100" s="1296">
        <v>113</v>
      </c>
      <c r="C100" s="327"/>
      <c r="D100" s="327"/>
      <c r="E100" s="327"/>
      <c r="F100" s="327"/>
    </row>
    <row r="101" spans="1:6">
      <c r="A101" s="1295" t="s">
        <v>74</v>
      </c>
      <c r="B101" s="1296">
        <v>39</v>
      </c>
      <c r="C101" s="327"/>
      <c r="D101" s="327"/>
      <c r="E101" s="327"/>
      <c r="F101" s="327"/>
    </row>
    <row r="102" spans="1:6">
      <c r="A102" s="1295" t="s">
        <v>75</v>
      </c>
      <c r="B102" s="1296">
        <v>41</v>
      </c>
      <c r="C102" s="327"/>
      <c r="D102" s="327"/>
      <c r="E102" s="327"/>
      <c r="F102" s="327"/>
    </row>
    <row r="103" spans="1:6">
      <c r="A103" s="1295" t="s">
        <v>76</v>
      </c>
      <c r="B103" s="1296">
        <v>91</v>
      </c>
      <c r="C103" s="327"/>
      <c r="D103" s="327"/>
      <c r="E103" s="327"/>
      <c r="F103" s="327"/>
    </row>
    <row r="104" spans="1:6">
      <c r="A104" s="1295" t="s">
        <v>77</v>
      </c>
      <c r="B104" s="1296">
        <v>2838</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32401.833485236908</v>
      </c>
      <c r="C3" s="44" t="s">
        <v>169</v>
      </c>
      <c r="D3" s="44"/>
      <c r="E3" s="157"/>
      <c r="F3" s="44"/>
      <c r="G3" s="44"/>
      <c r="H3" s="44"/>
      <c r="I3" s="44"/>
      <c r="J3" s="44"/>
      <c r="K3" s="97"/>
    </row>
    <row r="4" spans="1:11">
      <c r="A4" s="354" t="s">
        <v>170</v>
      </c>
      <c r="B4" s="50">
        <f>IF(ISERROR('SEAP template'!B78+'SEAP template'!C78),0,'SEAP template'!B78+'SEAP template'!C78)</f>
        <v>3643.9299834508902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0.19614620502233107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565.79399999999998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565.79399999999998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0.19614620502233107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110.97834592440478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14623.923000000001</v>
      </c>
      <c r="C5" s="18">
        <f>IF(ISERROR('Eigen informatie GS &amp; warmtenet'!B57),0,'Eigen informatie GS &amp; warmtenet'!B57)</f>
        <v>0</v>
      </c>
      <c r="D5" s="31">
        <f>(SUM(HH_hh_gas_kWh,HH_rest_gas_kWh)/1000)*0.902</f>
        <v>19739.653933999998</v>
      </c>
      <c r="E5" s="18">
        <f>B32*B41</f>
        <v>1355.9822339914388</v>
      </c>
      <c r="F5" s="18">
        <f>B36*B45</f>
        <v>41339.961496790558</v>
      </c>
      <c r="G5" s="19"/>
      <c r="H5" s="18"/>
      <c r="I5" s="18"/>
      <c r="J5" s="18">
        <f>B35*B44+C35*C44</f>
        <v>750.09919662190532</v>
      </c>
      <c r="K5" s="18"/>
      <c r="L5" s="18"/>
      <c r="M5" s="18"/>
      <c r="N5" s="18">
        <f>B34*B43+C34*C43</f>
        <v>5958.1741130829259</v>
      </c>
      <c r="O5" s="18">
        <f>B52*B53*B54</f>
        <v>46.9</v>
      </c>
      <c r="P5" s="18">
        <f>B60*B61*B62/1000-B60*B61*B62/1000/B63</f>
        <v>152.53333333333333</v>
      </c>
    </row>
    <row r="6" spans="1:16">
      <c r="A6" s="17" t="s">
        <v>628</v>
      </c>
      <c r="B6" s="768">
        <f>kWh_PV_kleiner_dan_10kW</f>
        <v>2620.0110567572601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17243.934056757262</v>
      </c>
      <c r="C8" s="22">
        <f>C5</f>
        <v>0</v>
      </c>
      <c r="D8" s="22">
        <f>D5</f>
        <v>19739.653933999998</v>
      </c>
      <c r="E8" s="22">
        <f>E5</f>
        <v>1355.9822339914388</v>
      </c>
      <c r="F8" s="22">
        <f>F5</f>
        <v>41339.961496790558</v>
      </c>
      <c r="G8" s="22"/>
      <c r="H8" s="22"/>
      <c r="I8" s="22"/>
      <c r="J8" s="22">
        <f>J5</f>
        <v>750.09919662190532</v>
      </c>
      <c r="K8" s="22"/>
      <c r="L8" s="22">
        <f>L5</f>
        <v>0</v>
      </c>
      <c r="M8" s="22">
        <f>M5</f>
        <v>0</v>
      </c>
      <c r="N8" s="22">
        <f>N5</f>
        <v>5958.1741130829259</v>
      </c>
      <c r="O8" s="22">
        <f>O5</f>
        <v>46.9</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0.19614620502233107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3382.3322248882669</v>
      </c>
      <c r="C12" s="24">
        <f ca="1">C10*C8</f>
        <v>0</v>
      </c>
      <c r="D12" s="24">
        <f>D8*D10</f>
        <v>3987.4100946680001</v>
      </c>
      <c r="E12" s="24">
        <f>E10*E8</f>
        <v>307.8079671160566</v>
      </c>
      <c r="F12" s="24">
        <f>F10*F8</f>
        <v>11037.76971964308</v>
      </c>
      <c r="G12" s="24"/>
      <c r="H12" s="24"/>
      <c r="I12" s="24"/>
      <c r="J12" s="24">
        <f>J10*J8</f>
        <v>265.53511560415444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3832</v>
      </c>
      <c r="C26" s="37"/>
      <c r="D26" s="228"/>
    </row>
    <row r="27" spans="1:5" s="16" customFormat="1">
      <c r="A27" s="230" t="s">
        <v>654</v>
      </c>
      <c r="B27" s="38">
        <f>SUM(HH_hh_gas_aantal,HH_rest_gas_aantal)</f>
        <v>1281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1216.95</v>
      </c>
      <c r="C31" s="35" t="s">
        <v>110</v>
      </c>
      <c r="D31" s="174"/>
    </row>
    <row r="32" spans="1:5">
      <c r="A32" s="171" t="s">
        <v>72</v>
      </c>
      <c r="B32" s="34">
        <f>IF((B21*($B$26-($B$27-0.05*$B$27)-$B$60))&lt;0,0,B21*($B$26-($B$27-0.05*$B$27)-$B$60))</f>
        <v>64.06911555826575</v>
      </c>
      <c r="C32" s="35" t="s">
        <v>110</v>
      </c>
      <c r="D32" s="174"/>
    </row>
    <row r="33" spans="1:6">
      <c r="A33" s="171" t="s">
        <v>73</v>
      </c>
      <c r="B33" s="34">
        <f>IF((B22*($B$26-($B$27-0.05*$B$27)-$B$60))&lt;0,0,B22*($B$26-($B$27-0.05*$B$27)-$B$60))</f>
        <v>431.26029049698087</v>
      </c>
      <c r="C33" s="35" t="s">
        <v>110</v>
      </c>
      <c r="D33" s="174"/>
    </row>
    <row r="34" spans="1:6">
      <c r="A34" s="171" t="s">
        <v>74</v>
      </c>
      <c r="B34" s="34">
        <f>IF((B24*($B$26-($B$27-0.05*$B$27)-$B$60))&lt;0,0,B24*($B$26-($B$27-0.05*$B$27)-$B$60))</f>
        <v>109.37669981329661</v>
      </c>
      <c r="C34" s="34">
        <f>B26*C24</f>
        <v>783.6529196278849</v>
      </c>
      <c r="D34" s="233"/>
    </row>
    <row r="35" spans="1:6">
      <c r="A35" s="171" t="s">
        <v>76</v>
      </c>
      <c r="B35" s="34">
        <f>IF((B19*($B$26-($B$27-0.05*$B$27)-$B$60))&lt;0,0,B19*($B$26-($B$27-0.05*$B$27)-$B$60))</f>
        <v>40.66279566655777</v>
      </c>
      <c r="C35" s="34">
        <f>B35/2</f>
        <v>20.331397833278885</v>
      </c>
      <c r="D35" s="233"/>
    </row>
    <row r="36" spans="1:6">
      <c r="A36" s="171" t="s">
        <v>77</v>
      </c>
      <c r="B36" s="34">
        <f>IF((B18*($B$26-($B$27-0.05*$B$27)-$B$60))&lt;0,0,B18*($B$26-($B$27-0.05*$B$27)-$B$60))</f>
        <v>1961.6810984648985</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9069.0579999999991</v>
      </c>
      <c r="C5" s="18">
        <f>IF(ISERROR('Eigen informatie GS &amp; warmtenet'!B58),0,'Eigen informatie GS &amp; warmtenet'!B58)</f>
        <v>0</v>
      </c>
      <c r="D5" s="31">
        <f>SUM(D6:D12)</f>
        <v>6892.2722000000003</v>
      </c>
      <c r="E5" s="18">
        <f>SUM(E6:E12)</f>
        <v>81.72694610901975</v>
      </c>
      <c r="F5" s="18">
        <f>SUM(F6:F12)</f>
        <v>1871.5242417022398</v>
      </c>
      <c r="G5" s="19"/>
      <c r="H5" s="18"/>
      <c r="I5" s="18"/>
      <c r="J5" s="18">
        <f>SUM(J6:J12)</f>
        <v>0</v>
      </c>
      <c r="K5" s="18"/>
      <c r="L5" s="18"/>
      <c r="M5" s="18"/>
      <c r="N5" s="18">
        <f>SUM(N6:N12)</f>
        <v>554.89067916972579</v>
      </c>
      <c r="O5" s="18">
        <f>B38*B39*B40</f>
        <v>0</v>
      </c>
      <c r="P5" s="18">
        <f>B46*B47*B48/1000-B46*B47*B48/1000/B49</f>
        <v>19.066666666666666</v>
      </c>
      <c r="R5" s="33"/>
    </row>
    <row r="6" spans="1:18">
      <c r="A6" s="33" t="s">
        <v>53</v>
      </c>
      <c r="B6" s="38">
        <f>B26</f>
        <v>1809.7550000000001</v>
      </c>
      <c r="C6" s="34"/>
      <c r="D6" s="38">
        <f>IF(ISERROR(TER_kantoor_gas_kWh/1000),0,TER_kantoor_gas_kWh/1000)*0.902</f>
        <v>1795.2388740000001</v>
      </c>
      <c r="E6" s="34">
        <f>$C$26*'E Balans VL '!I12/100/3.6*1000000</f>
        <v>2.9701747486310692</v>
      </c>
      <c r="F6" s="34">
        <f>$C$26*('E Balans VL '!L12+'E Balans VL '!N12)/100/3.6*1000000</f>
        <v>213.32753327720386</v>
      </c>
      <c r="G6" s="35"/>
      <c r="H6" s="34"/>
      <c r="I6" s="34"/>
      <c r="J6" s="34">
        <f>$C$26*('E Balans VL '!D12+'E Balans VL '!E12)/100/3.6*1000000</f>
        <v>0</v>
      </c>
      <c r="K6" s="34"/>
      <c r="L6" s="34"/>
      <c r="M6" s="34"/>
      <c r="N6" s="34">
        <f>$C$26*'E Balans VL '!Y12/100/3.6*1000000</f>
        <v>0.36565242785848029</v>
      </c>
      <c r="O6" s="34"/>
      <c r="P6" s="34"/>
      <c r="R6" s="33"/>
    </row>
    <row r="7" spans="1:18">
      <c r="A7" s="33" t="s">
        <v>52</v>
      </c>
      <c r="B7" s="38">
        <f t="shared" ref="B7:B12" si="0">B27</f>
        <v>845.33699999999999</v>
      </c>
      <c r="C7" s="34"/>
      <c r="D7" s="38">
        <f>IF(ISERROR(TER_horeca_gas_kWh/1000),0,TER_horeca_gas_kWh/1000)*0.902</f>
        <v>440.00011000000001</v>
      </c>
      <c r="E7" s="34">
        <f>$C$27*'E Balans VL '!I9/100/3.6*1000000</f>
        <v>43.866873310569297</v>
      </c>
      <c r="F7" s="34">
        <f>$C$27*('E Balans VL '!L9+'E Balans VL '!N9)/100/3.6*1000000</f>
        <v>192.90651677956726</v>
      </c>
      <c r="G7" s="35"/>
      <c r="H7" s="34"/>
      <c r="I7" s="34"/>
      <c r="J7" s="34">
        <f>$C$27*('E Balans VL '!D9+'E Balans VL '!E9)/100/3.6*1000000</f>
        <v>0</v>
      </c>
      <c r="K7" s="34"/>
      <c r="L7" s="34"/>
      <c r="M7" s="34"/>
      <c r="N7" s="34">
        <f>$C$27*'E Balans VL '!Y9/100/3.6*1000000</f>
        <v>8.9267199807418859E-2</v>
      </c>
      <c r="O7" s="34"/>
      <c r="P7" s="34"/>
      <c r="R7" s="33"/>
    </row>
    <row r="8" spans="1:18">
      <c r="A8" s="6" t="s">
        <v>51</v>
      </c>
      <c r="B8" s="38">
        <f t="shared" si="0"/>
        <v>5016.2579999999998</v>
      </c>
      <c r="C8" s="34"/>
      <c r="D8" s="38">
        <f>IF(ISERROR(TER_handel_gas_kWh/1000),0,TER_handel_gas_kWh/1000)*0.902</f>
        <v>3877.0837380000003</v>
      </c>
      <c r="E8" s="34">
        <f>$C$28*'E Balans VL '!I13/100/3.6*1000000</f>
        <v>27.013165746179869</v>
      </c>
      <c r="F8" s="34">
        <f>$C$28*('E Balans VL '!L13+'E Balans VL '!N13)/100/3.6*1000000</f>
        <v>1022.9640759615293</v>
      </c>
      <c r="G8" s="35"/>
      <c r="H8" s="34"/>
      <c r="I8" s="34"/>
      <c r="J8" s="34">
        <f>$C$28*('E Balans VL '!D13+'E Balans VL '!E13)/100/3.6*1000000</f>
        <v>0</v>
      </c>
      <c r="K8" s="34"/>
      <c r="L8" s="34"/>
      <c r="M8" s="34"/>
      <c r="N8" s="34">
        <f>$C$28*'E Balans VL '!Y13/100/3.6*1000000</f>
        <v>24.943202024045874</v>
      </c>
      <c r="O8" s="34"/>
      <c r="P8" s="34"/>
      <c r="R8" s="33"/>
    </row>
    <row r="9" spans="1:18">
      <c r="A9" s="33" t="s">
        <v>50</v>
      </c>
      <c r="B9" s="38">
        <f t="shared" si="0"/>
        <v>304.17700000000002</v>
      </c>
      <c r="C9" s="34"/>
      <c r="D9" s="38">
        <f>IF(ISERROR(TER_gezond_gas_kWh/1000),0,TER_gezond_gas_kWh/1000)*0.902</f>
        <v>181.95865600000002</v>
      </c>
      <c r="E9" s="34">
        <f>$C$29*'E Balans VL '!I10/100/3.6*1000000</f>
        <v>0.30144286608652815</v>
      </c>
      <c r="F9" s="34">
        <f>$C$29*('E Balans VL '!L10+'E Balans VL '!N10)/100/3.6*1000000</f>
        <v>105.54065143433702</v>
      </c>
      <c r="G9" s="35"/>
      <c r="H9" s="34"/>
      <c r="I9" s="34"/>
      <c r="J9" s="34">
        <f>$C$29*('E Balans VL '!D10+'E Balans VL '!E10)/100/3.6*1000000</f>
        <v>0</v>
      </c>
      <c r="K9" s="34"/>
      <c r="L9" s="34"/>
      <c r="M9" s="34"/>
      <c r="N9" s="34">
        <f>$C$29*'E Balans VL '!Y10/100/3.6*1000000</f>
        <v>2.6210668582728234</v>
      </c>
      <c r="O9" s="34"/>
      <c r="P9" s="34"/>
      <c r="R9" s="33"/>
    </row>
    <row r="10" spans="1:18">
      <c r="A10" s="33" t="s">
        <v>49</v>
      </c>
      <c r="B10" s="38">
        <f t="shared" si="0"/>
        <v>912.30799999999999</v>
      </c>
      <c r="C10" s="34"/>
      <c r="D10" s="38">
        <f>IF(ISERROR(TER_ander_gas_kWh/1000),0,TER_ander_gas_kWh/1000)*0.902</f>
        <v>481.92326600000001</v>
      </c>
      <c r="E10" s="34">
        <f>$C$30*'E Balans VL '!I14/100/3.6*1000000</f>
        <v>7.4635912269105082</v>
      </c>
      <c r="F10" s="34">
        <f>$C$30*('E Balans VL '!L14+'E Balans VL '!N14)/100/3.6*1000000</f>
        <v>266.72171760304508</v>
      </c>
      <c r="G10" s="35"/>
      <c r="H10" s="34"/>
      <c r="I10" s="34"/>
      <c r="J10" s="34">
        <f>$C$30*('E Balans VL '!D14+'E Balans VL '!E14)/100/3.6*1000000</f>
        <v>0</v>
      </c>
      <c r="K10" s="34"/>
      <c r="L10" s="34"/>
      <c r="M10" s="34"/>
      <c r="N10" s="34">
        <f>$C$30*'E Balans VL '!Y14/100/3.6*1000000</f>
        <v>526.28201107600091</v>
      </c>
      <c r="O10" s="34"/>
      <c r="P10" s="34"/>
      <c r="R10" s="33"/>
    </row>
    <row r="11" spans="1:18">
      <c r="A11" s="33" t="s">
        <v>54</v>
      </c>
      <c r="B11" s="38">
        <f t="shared" si="0"/>
        <v>181.22300000000001</v>
      </c>
      <c r="C11" s="34"/>
      <c r="D11" s="38">
        <f>IF(ISERROR(TER_onderwijs_gas_kWh/1000),0,TER_onderwijs_gas_kWh/1000)*0.902</f>
        <v>0</v>
      </c>
      <c r="E11" s="34">
        <f>$C$31*'E Balans VL '!I11/100/3.6*1000000</f>
        <v>0.11169821064246588</v>
      </c>
      <c r="F11" s="34">
        <f>$C$31*('E Balans VL '!L11+'E Balans VL '!N11)/100/3.6*1000000</f>
        <v>70.063746646557234</v>
      </c>
      <c r="G11" s="35"/>
      <c r="H11" s="34"/>
      <c r="I11" s="34"/>
      <c r="J11" s="34">
        <f>$C$31*('E Balans VL '!D11+'E Balans VL '!E11)/100/3.6*1000000</f>
        <v>0</v>
      </c>
      <c r="K11" s="34"/>
      <c r="L11" s="34"/>
      <c r="M11" s="34"/>
      <c r="N11" s="34">
        <f>$C$31*'E Balans VL '!Y11/100/3.6*1000000</f>
        <v>0.58947958374028886</v>
      </c>
      <c r="O11" s="34"/>
      <c r="P11" s="34"/>
      <c r="R11" s="33"/>
    </row>
    <row r="12" spans="1:18">
      <c r="A12" s="33" t="s">
        <v>255</v>
      </c>
      <c r="B12" s="38">
        <f t="shared" si="0"/>
        <v>0</v>
      </c>
      <c r="C12" s="34"/>
      <c r="D12" s="38">
        <f>IF(ISERROR(TER_rest_gas_kWh/1000),0,TER_rest_gas_kWh/1000)*0.902</f>
        <v>116.067556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9069.0579999999991</v>
      </c>
      <c r="C16" s="22">
        <f t="shared" ca="1" si="1"/>
        <v>0</v>
      </c>
      <c r="D16" s="22">
        <f t="shared" ca="1" si="1"/>
        <v>6892.2722000000003</v>
      </c>
      <c r="E16" s="22">
        <f t="shared" si="1"/>
        <v>81.72694610901975</v>
      </c>
      <c r="F16" s="22">
        <f t="shared" ca="1" si="1"/>
        <v>1871.5242417022398</v>
      </c>
      <c r="G16" s="22">
        <f t="shared" si="1"/>
        <v>0</v>
      </c>
      <c r="H16" s="22">
        <f t="shared" si="1"/>
        <v>0</v>
      </c>
      <c r="I16" s="22">
        <f t="shared" si="1"/>
        <v>0</v>
      </c>
      <c r="J16" s="22">
        <f t="shared" si="1"/>
        <v>0</v>
      </c>
      <c r="K16" s="22">
        <f t="shared" si="1"/>
        <v>0</v>
      </c>
      <c r="L16" s="22">
        <f t="shared" ca="1" si="1"/>
        <v>0</v>
      </c>
      <c r="M16" s="22">
        <f t="shared" si="1"/>
        <v>0</v>
      </c>
      <c r="N16" s="22">
        <f t="shared" ca="1" si="1"/>
        <v>554.89067916972579</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0.19614620502233107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1778.8613098274116</v>
      </c>
      <c r="C20" s="24">
        <f t="shared" ref="C20:P20" ca="1" si="2">C16*C18</f>
        <v>0</v>
      </c>
      <c r="D20" s="24">
        <f t="shared" ca="1" si="2"/>
        <v>1392.2389844000002</v>
      </c>
      <c r="E20" s="24">
        <f t="shared" si="2"/>
        <v>18.552016766747485</v>
      </c>
      <c r="F20" s="24">
        <f t="shared" ca="1" si="2"/>
        <v>499.69697253449806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1809.7550000000001</v>
      </c>
      <c r="C26" s="40">
        <f>IF(ISERROR(B26*3.6/1000000/'E Balans VL '!Z12*100),0,B26*3.6/1000000/'E Balans VL '!Z12*100)</f>
        <v>3.8455995918508006E-2</v>
      </c>
      <c r="D26" s="236" t="s">
        <v>691</v>
      </c>
      <c r="F26" s="6"/>
    </row>
    <row r="27" spans="1:18">
      <c r="A27" s="231" t="s">
        <v>52</v>
      </c>
      <c r="B27" s="34">
        <f>IF(ISERROR(TER_horeca_ele_kWh/1000),0,TER_horeca_ele_kWh/1000)</f>
        <v>845.33699999999999</v>
      </c>
      <c r="C27" s="40">
        <f>IF(ISERROR(B27*3.6/1000000/'E Balans VL '!Z9*100),0,B27*3.6/1000000/'E Balans VL '!Z9*100)</f>
        <v>6.6534558862672427E-2</v>
      </c>
      <c r="D27" s="236" t="s">
        <v>691</v>
      </c>
      <c r="F27" s="6"/>
    </row>
    <row r="28" spans="1:18">
      <c r="A28" s="171" t="s">
        <v>51</v>
      </c>
      <c r="B28" s="34">
        <f>IF(ISERROR(TER_handel_ele_kWh/1000),0,TER_handel_ele_kWh/1000)</f>
        <v>5016.2579999999998</v>
      </c>
      <c r="C28" s="40">
        <f>IF(ISERROR(B28*3.6/1000000/'E Balans VL '!Z13*100),0,B28*3.6/1000000/'E Balans VL '!Z13*100)</f>
        <v>0.14050807117529457</v>
      </c>
      <c r="D28" s="236" t="s">
        <v>691</v>
      </c>
      <c r="F28" s="6"/>
    </row>
    <row r="29" spans="1:18">
      <c r="A29" s="231" t="s">
        <v>50</v>
      </c>
      <c r="B29" s="34">
        <f>IF(ISERROR(TER_gezond_ele_kWh/1000),0,TER_gezond_ele_kWh/1000)</f>
        <v>304.17700000000002</v>
      </c>
      <c r="C29" s="40">
        <f>IF(ISERROR(B29*3.6/1000000/'E Balans VL '!Z10*100),0,B29*3.6/1000000/'E Balans VL '!Z10*100)</f>
        <v>3.8913436242038482E-2</v>
      </c>
      <c r="D29" s="236" t="s">
        <v>691</v>
      </c>
      <c r="F29" s="6"/>
    </row>
    <row r="30" spans="1:18">
      <c r="A30" s="231" t="s">
        <v>49</v>
      </c>
      <c r="B30" s="34">
        <f>IF(ISERROR(TER_ander_ele_kWh/1000),0,TER_ander_ele_kWh/1000)</f>
        <v>912.30799999999999</v>
      </c>
      <c r="C30" s="40">
        <f>IF(ISERROR(B30*3.6/1000000/'E Balans VL '!Z14*100),0,B30*3.6/1000000/'E Balans VL '!Z14*100)</f>
        <v>6.8232951158504349E-2</v>
      </c>
      <c r="D30" s="236" t="s">
        <v>691</v>
      </c>
      <c r="F30" s="6"/>
    </row>
    <row r="31" spans="1:18">
      <c r="A31" s="231" t="s">
        <v>54</v>
      </c>
      <c r="B31" s="34">
        <f>IF(ISERROR(TER_onderwijs_ele_kWh/1000),0,TER_onderwijs_ele_kWh/1000)</f>
        <v>181.22300000000001</v>
      </c>
      <c r="C31" s="40">
        <f>IF(ISERROR(B31*3.6/1000000/'E Balans VL '!Z11*100),0,B31*3.6/1000000/'E Balans VL '!Z11*100)</f>
        <v>3.826547119378701E-2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4180.094000000001</v>
      </c>
      <c r="C5" s="18">
        <f>IF(ISERROR('Eigen informatie GS &amp; warmtenet'!B59),0,'Eigen informatie GS &amp; warmtenet'!B59)</f>
        <v>0</v>
      </c>
      <c r="D5" s="31">
        <f>SUM(D6:D15)</f>
        <v>1522.5525480000001</v>
      </c>
      <c r="E5" s="18">
        <f>SUM(E6:E15)</f>
        <v>52.363687706673353</v>
      </c>
      <c r="F5" s="18">
        <f>SUM(F6:F15)</f>
        <v>905.82255717287467</v>
      </c>
      <c r="G5" s="19"/>
      <c r="H5" s="18"/>
      <c r="I5" s="18"/>
      <c r="J5" s="18">
        <f>SUM(J6:J15)</f>
        <v>11.566638596410119</v>
      </c>
      <c r="K5" s="18"/>
      <c r="L5" s="18"/>
      <c r="M5" s="18"/>
      <c r="N5" s="18">
        <f>SUM(N6:N15)</f>
        <v>126.90680398144109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426.68700000000001</v>
      </c>
      <c r="C8" s="34"/>
      <c r="D8" s="38">
        <f>IF( ISERROR(IND_metaal_Gas_kWH/1000),0,IND_metaal_Gas_kWH/1000)*0.902</f>
        <v>161.34795599999998</v>
      </c>
      <c r="E8" s="34">
        <f>C30*'E Balans VL '!I18/100/3.6*1000000</f>
        <v>3.8857616147311242</v>
      </c>
      <c r="F8" s="34">
        <f>C30*'E Balans VL '!L18/100/3.6*1000000+C30*'E Balans VL '!N18/100/3.6*1000000</f>
        <v>56.276774983267806</v>
      </c>
      <c r="G8" s="35"/>
      <c r="H8" s="34"/>
      <c r="I8" s="34"/>
      <c r="J8" s="41">
        <f>C30*'E Balans VL '!D18/100/3.6*1000000+C30*'E Balans VL '!E18/100/3.6*1000000</f>
        <v>6.9970472727845072</v>
      </c>
      <c r="K8" s="34"/>
      <c r="L8" s="34"/>
      <c r="M8" s="34"/>
      <c r="N8" s="34">
        <f>C30*'E Balans VL '!Y18/100/3.6*1000000</f>
        <v>1.4663537180240527</v>
      </c>
      <c r="O8" s="34"/>
      <c r="P8" s="34"/>
      <c r="R8" s="33"/>
    </row>
    <row r="9" spans="1:18">
      <c r="A9" s="6" t="s">
        <v>32</v>
      </c>
      <c r="B9" s="38">
        <f t="shared" si="0"/>
        <v>458.35</v>
      </c>
      <c r="C9" s="34"/>
      <c r="D9" s="38">
        <f>IF( ISERROR(IND_andere_gas_kWh/1000),0,IND_andere_gas_kWh/1000)*0.902</f>
        <v>372.07409800000005</v>
      </c>
      <c r="E9" s="34">
        <f>C31*'E Balans VL '!I19/100/3.6*1000000</f>
        <v>2.6493314947420954</v>
      </c>
      <c r="F9" s="34">
        <f>C31*'E Balans VL '!L19/100/3.6*1000000+C31*'E Balans VL '!N19/100/3.6*1000000</f>
        <v>364.63947992925443</v>
      </c>
      <c r="G9" s="35"/>
      <c r="H9" s="34"/>
      <c r="I9" s="34"/>
      <c r="J9" s="41">
        <f>C31*'E Balans VL '!D19/100/3.6*1000000+C31*'E Balans VL '!E19/100/3.6*1000000</f>
        <v>4.3354818792402335E-2</v>
      </c>
      <c r="K9" s="34"/>
      <c r="L9" s="34"/>
      <c r="M9" s="34"/>
      <c r="N9" s="34">
        <f>C31*'E Balans VL '!Y19/100/3.6*1000000</f>
        <v>34.72694885137826</v>
      </c>
      <c r="O9" s="34"/>
      <c r="P9" s="34"/>
      <c r="R9" s="33"/>
    </row>
    <row r="10" spans="1:18">
      <c r="A10" s="6" t="s">
        <v>40</v>
      </c>
      <c r="B10" s="38">
        <f t="shared" si="0"/>
        <v>2455.393</v>
      </c>
      <c r="C10" s="34"/>
      <c r="D10" s="38">
        <f>IF( ISERROR(IND_voed_gas_kWh/1000),0,IND_voed_gas_kWh/1000)*0.902</f>
        <v>285.32244400000002</v>
      </c>
      <c r="E10" s="34">
        <f>C32*'E Balans VL '!I20/100/3.6*1000000</f>
        <v>24.142936869625075</v>
      </c>
      <c r="F10" s="34">
        <f>C32*'E Balans VL '!L20/100/3.6*1000000+C32*'E Balans VL '!N20/100/3.6*1000000</f>
        <v>272.70344202167053</v>
      </c>
      <c r="G10" s="35"/>
      <c r="H10" s="34"/>
      <c r="I10" s="34"/>
      <c r="J10" s="41">
        <f>C32*'E Balans VL '!D20/100/3.6*1000000+C32*'E Balans VL '!E20/100/3.6*1000000</f>
        <v>9.6778184943490542E-3</v>
      </c>
      <c r="K10" s="34"/>
      <c r="L10" s="34"/>
      <c r="M10" s="34"/>
      <c r="N10" s="34">
        <f>C32*'E Balans VL '!Y20/100/3.6*1000000</f>
        <v>36.358594636861312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644.33900000000006</v>
      </c>
      <c r="C12" s="34"/>
      <c r="D12" s="38">
        <f>IF( ISERROR(IND_min_gas_kWh/1000),0,IND_min_gas_kWh/1000)*0.902</f>
        <v>351.41288600000001</v>
      </c>
      <c r="E12" s="34">
        <f>C34*'E Balans VL '!I22/100/3.6*1000000</f>
        <v>16.335140248078986</v>
      </c>
      <c r="F12" s="34">
        <f>C34*'E Balans VL '!L22/100/3.6*1000000+C34*'E Balans VL '!N22/100/3.6*1000000</f>
        <v>178.29084720175334</v>
      </c>
      <c r="G12" s="35"/>
      <c r="H12" s="34"/>
      <c r="I12" s="34"/>
      <c r="J12" s="41">
        <f>C34*'E Balans VL '!D22/100/3.6*1000000+C34*'E Balans VL '!E22/100/3.6*1000000</f>
        <v>4.2553442365198908</v>
      </c>
      <c r="K12" s="34"/>
      <c r="L12" s="34"/>
      <c r="M12" s="34"/>
      <c r="N12" s="34">
        <f>C34*'E Balans VL '!Y22/100/3.6*1000000</f>
        <v>0</v>
      </c>
      <c r="O12" s="34"/>
      <c r="P12" s="34"/>
      <c r="R12" s="33"/>
    </row>
    <row r="13" spans="1:18">
      <c r="A13" s="6" t="s">
        <v>38</v>
      </c>
      <c r="B13" s="38">
        <f t="shared" si="0"/>
        <v>143.381</v>
      </c>
      <c r="C13" s="34"/>
      <c r="D13" s="38">
        <f>IF( ISERROR(IND_papier_gas_kWh/1000),0,IND_papier_gas_kWh/1000)*0.902</f>
        <v>0</v>
      </c>
      <c r="E13" s="34">
        <f>C35*'E Balans VL '!I23/100/3.6*1000000</f>
        <v>4.8837647490094547</v>
      </c>
      <c r="F13" s="34">
        <f>C35*'E Balans VL '!L23/100/3.6*1000000+C35*'E Balans VL '!N23/100/3.6*1000000</f>
        <v>23.68317612036525</v>
      </c>
      <c r="G13" s="35"/>
      <c r="H13" s="34"/>
      <c r="I13" s="34"/>
      <c r="J13" s="41">
        <f>C35*'E Balans VL '!D23/100/3.6*1000000+C35*'E Balans VL '!E23/100/3.6*1000000</f>
        <v>0</v>
      </c>
      <c r="K13" s="34"/>
      <c r="L13" s="34"/>
      <c r="M13" s="34"/>
      <c r="N13" s="34">
        <f>C35*'E Balans VL '!Y23/100/3.6*1000000</f>
        <v>52.760362819658582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51.944000000000003</v>
      </c>
      <c r="C15" s="34"/>
      <c r="D15" s="38">
        <f>IF( ISERROR(IND_rest_gas_kWh/1000),0,IND_rest_gas_kWh/1000)*0.902</f>
        <v>352.39516400000002</v>
      </c>
      <c r="E15" s="34">
        <f>C37*'E Balans VL '!I15/100/3.6*1000000</f>
        <v>0.46675273048661114</v>
      </c>
      <c r="F15" s="34">
        <f>C37*'E Balans VL '!L15/100/3.6*1000000+C37*'E Balans VL '!N15/100/3.6*1000000</f>
        <v>10.22883691656336</v>
      </c>
      <c r="G15" s="35"/>
      <c r="H15" s="34"/>
      <c r="I15" s="34"/>
      <c r="J15" s="41">
        <f>C37*'E Balans VL '!D15/100/3.6*1000000+C37*'E Balans VL '!E15/100/3.6*1000000</f>
        <v>0.2612144498189693</v>
      </c>
      <c r="K15" s="34"/>
      <c r="L15" s="34"/>
      <c r="M15" s="34"/>
      <c r="N15" s="34">
        <f>C37*'E Balans VL '!Y15/100/3.6*1000000</f>
        <v>1.5945439555188812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4180.094000000001</v>
      </c>
      <c r="C18" s="22">
        <f>C5+C16</f>
        <v>0</v>
      </c>
      <c r="D18" s="22">
        <f>MAX((D5+D16),0)</f>
        <v>1522.5525480000001</v>
      </c>
      <c r="E18" s="22">
        <f>MAX((E5+E16),0)</f>
        <v>52.363687706673353</v>
      </c>
      <c r="F18" s="22">
        <f>MAX((F5+F16),0)</f>
        <v>905.82255717287467</v>
      </c>
      <c r="G18" s="22"/>
      <c r="H18" s="22"/>
      <c r="I18" s="22"/>
      <c r="J18" s="22">
        <f>MAX((J5+J16),0)</f>
        <v>11.566638596410119</v>
      </c>
      <c r="K18" s="22"/>
      <c r="L18" s="22">
        <f>MAX((L5+L16),0)</f>
        <v>0</v>
      </c>
      <c r="M18" s="22"/>
      <c r="N18" s="22">
        <f>MAX((N5+N16),0)</f>
        <v>126.90680398144109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0.19614620502233107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819.90957473661615</v>
      </c>
      <c r="C22" s="24">
        <f ca="1">C18*C20</f>
        <v>0</v>
      </c>
      <c r="D22" s="24">
        <f>D18*D20</f>
        <v>307.55561469600002</v>
      </c>
      <c r="E22" s="24">
        <f>E18*E20</f>
        <v>11.886557109414852</v>
      </c>
      <c r="F22" s="24">
        <f>F18*F20</f>
        <v>241.85462276515756</v>
      </c>
      <c r="G22" s="24"/>
      <c r="H22" s="24"/>
      <c r="I22" s="24"/>
      <c r="J22" s="24">
        <f>J18*J20</f>
        <v>4.0945900631291821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426.68700000000001</v>
      </c>
      <c r="C30" s="40">
        <f>IF(ISERROR(B30*3.6/1000000/'E Balans VL '!Z18*100),0,B30*3.6/1000000/'E Balans VL '!Z18*100)</f>
        <v>2.3742278318510984E-2</v>
      </c>
      <c r="D30" s="236" t="s">
        <v>691</v>
      </c>
    </row>
    <row r="31" spans="1:18">
      <c r="A31" s="6" t="s">
        <v>32</v>
      </c>
      <c r="B31" s="38">
        <f>IF( ISERROR(IND_ander_ele_kWh/1000),0,IND_ander_ele_kWh/1000)</f>
        <v>458.35</v>
      </c>
      <c r="C31" s="40">
        <f>IF(ISERROR(B31*3.6/1000000/'E Balans VL '!Z19*100),0,B31*3.6/1000000/'E Balans VL '!Z19*100)</f>
        <v>2.1307487734149956E-2</v>
      </c>
      <c r="D31" s="236" t="s">
        <v>691</v>
      </c>
    </row>
    <row r="32" spans="1:18">
      <c r="A32" s="171" t="s">
        <v>40</v>
      </c>
      <c r="B32" s="38">
        <f>IF( ISERROR(IND_voed_ele_kWh/1000),0,IND_voed_ele_kWh/1000)</f>
        <v>2455.393</v>
      </c>
      <c r="C32" s="40">
        <f>IF(ISERROR(B32*3.6/1000000/'E Balans VL '!Z20*100),0,B32*3.6/1000000/'E Balans VL '!Z20*100)</f>
        <v>8.6793183673825922E-2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644.33900000000006</v>
      </c>
      <c r="C34" s="40">
        <f>IF(ISERROR(B34*3.6/1000000/'E Balans VL '!Z22*100),0,B34*3.6/1000000/'E Balans VL '!Z22*100)</f>
        <v>0.12949396925404855</v>
      </c>
      <c r="D34" s="236" t="s">
        <v>691</v>
      </c>
    </row>
    <row r="35" spans="1:5">
      <c r="A35" s="171" t="s">
        <v>38</v>
      </c>
      <c r="B35" s="38">
        <f>IF( ISERROR(IND_papier_ele_kWh/1000),0,IND_papier_ele_kWh/1000)</f>
        <v>143.381</v>
      </c>
      <c r="C35" s="40">
        <f>IF(ISERROR(B35*3.6/1000000/'E Balans VL '!Z22*100),0,B35*3.6/1000000/'E Balans VL '!Z22*100)</f>
        <v>2.8815537792396134E-2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51.944000000000003</v>
      </c>
      <c r="C37" s="40">
        <f>IF(ISERROR(B37*3.6/1000000/'E Balans VL '!Z15*100),0,B37*3.6/1000000/'E Balans VL '!Z15*100)</f>
        <v>3.9225393289116174E-4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943.37599999999998</v>
      </c>
      <c r="C5" s="18">
        <f>'Eigen informatie GS &amp; warmtenet'!B60</f>
        <v>0</v>
      </c>
      <c r="D5" s="31">
        <f>IF(ISERROR(SUM(LB_lb_gas_kWh,LB_rest_gas_kWh)/1000),0,SUM(LB_lb_gas_kWh,LB_rest_gas_kWh)/1000)*0.902</f>
        <v>552.05556999999999</v>
      </c>
      <c r="E5" s="18">
        <f>B17*'E Balans VL '!I25/3.6*1000000/100</f>
        <v>8.8872340026542673</v>
      </c>
      <c r="F5" s="18">
        <f>B17*('E Balans VL '!L25/3.6*1000000+'E Balans VL '!N25/3.6*1000000)/100</f>
        <v>3078.5489669987805</v>
      </c>
      <c r="G5" s="19"/>
      <c r="H5" s="18"/>
      <c r="I5" s="18"/>
      <c r="J5" s="18">
        <f>('E Balans VL '!D25+'E Balans VL '!E25)/3.6*1000000*landbouw!B17/100</f>
        <v>116.70019977998255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943.37599999999998</v>
      </c>
      <c r="C8" s="22">
        <f>C5+C6</f>
        <v>0</v>
      </c>
      <c r="D8" s="22">
        <f>MAX((D5+D6),0)</f>
        <v>552.05556999999999</v>
      </c>
      <c r="E8" s="22">
        <f>MAX((E5+E6),0)</f>
        <v>8.8872340026542673</v>
      </c>
      <c r="F8" s="22">
        <f>MAX((F5+F6),0)</f>
        <v>3078.5489669987805</v>
      </c>
      <c r="G8" s="22"/>
      <c r="H8" s="22"/>
      <c r="I8" s="22"/>
      <c r="J8" s="22">
        <f>MAX((J5+J6),0)</f>
        <v>116.70019977998255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0.19614620502233107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185.03962230914658</v>
      </c>
      <c r="C12" s="24">
        <f ca="1">C8*C10</f>
        <v>0</v>
      </c>
      <c r="D12" s="24">
        <f>D8*D10</f>
        <v>111.51522514</v>
      </c>
      <c r="E12" s="24">
        <f>E8*E10</f>
        <v>2.0174021186025186</v>
      </c>
      <c r="F12" s="24">
        <f>F8*F10</f>
        <v>821.97257418867446</v>
      </c>
      <c r="G12" s="24"/>
      <c r="H12" s="24"/>
      <c r="I12" s="24"/>
      <c r="J12" s="24">
        <f>J8*J10</f>
        <v>41.311870722113824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0.12771803573341139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77.892011612775448</v>
      </c>
      <c r="C26" s="246">
        <f>B26*'GWP N2O_CH4'!B5</f>
        <v>1635.7322438682845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53.995357169397749</v>
      </c>
      <c r="C27" s="246">
        <f>B27*'GWP N2O_CH4'!B5</f>
        <v>1133.9025005573528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1.3967971220795674</v>
      </c>
      <c r="C28" s="246">
        <f>B28*'GWP N2O_CH4'!B4</f>
        <v>433.00710784466588</v>
      </c>
      <c r="D28" s="51"/>
    </row>
    <row r="29" spans="1:4">
      <c r="A29" s="42" t="s">
        <v>272</v>
      </c>
      <c r="B29" s="246">
        <f>B34*'ha_N2O bodem landbouw'!B4</f>
        <v>8.9569525231241176</v>
      </c>
      <c r="C29" s="246">
        <f>B29*'GWP N2O_CH4'!B4</f>
        <v>2776.6552821684763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2.4180952139880255E-3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1.4083105662362835E-5</v>
      </c>
      <c r="C5" s="435" t="s">
        <v>210</v>
      </c>
      <c r="D5" s="420">
        <f>SUM(D6:D11)</f>
        <v>1.7165168234518909E-5</v>
      </c>
      <c r="E5" s="420">
        <f>SUM(E6:E11)</f>
        <v>1.2360022070947833E-3</v>
      </c>
      <c r="F5" s="433" t="s">
        <v>210</v>
      </c>
      <c r="G5" s="420">
        <f>SUM(G6:G11)</f>
        <v>0.27024328629344213</v>
      </c>
      <c r="H5" s="420">
        <f>SUM(H6:H11)</f>
        <v>4.2540590578945284E-2</v>
      </c>
      <c r="I5" s="435" t="s">
        <v>210</v>
      </c>
      <c r="J5" s="435" t="s">
        <v>210</v>
      </c>
      <c r="K5" s="435" t="s">
        <v>210</v>
      </c>
      <c r="L5" s="435" t="s">
        <v>210</v>
      </c>
      <c r="M5" s="420">
        <f>SUM(M6:M11)</f>
        <v>1.3973240251487896E-2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2.678486401483433E-6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3.1195834859621196E-6</v>
      </c>
      <c r="E6" s="423">
        <f>vkm_GW_PW*SUMIFS(TableVerdeelsleutelVkm[LPG],TableVerdeelsleutelVkm[Voertuigtype],"Lichte voertuigen")*SUMIFS(TableECFTransport[EnergieConsumptieFactor (PJ per km)],TableECFTransport[Index],CONCATENATE($A6,"_LPG_LPG"))</f>
        <v>2.0239056015577947E-4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3.157673252278783E-2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7.6099875420305796E-3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1.7536082749224444E-3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1.4880349272067132E-8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2.461538161783421E-3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6.6051840415451506E-8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1.0953041820899702E-4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2.484870356479799E-6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4.7266509779376099E-6</v>
      </c>
      <c r="E8" s="423">
        <f>vkm_NGW_PW*SUMIFS(TableVerdeelsleutelVkm[LPG],TableVerdeelsleutelVkm[Voertuigtype],"Lichte voertuigen")*SUMIFS(TableECFTransport[EnergieConsumptieFactor (PJ per km)],TableECFTransport[Index],CONCATENATE($A8,"_LPG_LPG"))</f>
        <v>2.9054232368498563E-4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4.267420612463272E-2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1.0991156617956221E-2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2.4022749091879804E-3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5.6369255285995167E-10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1.1957510476633777E-4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3.0201641029480689E-9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5.3206934533578541E-6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8.3551653965346712E-6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9.3189337706191812E-6</v>
      </c>
      <c r="E10" s="423">
        <f>vkm_SW_PW*SUMIFS(TableVerdeelsleutelVkm[LPG],TableVerdeelsleutelVkm[Voertuigtype],"Lichte voertuigen")*SUMIFS(TableECFTransport[EnergieConsumptieFactor (PJ per km)],TableECFTransport[Index],CONCATENATE($A10,"_LPG_LPG"))</f>
        <v>7.4306932325401824E-4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0.10832015149067517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2.3936868438041329E-2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5.9162200154793086E-3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5.4913946604000481E-7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8.5091082888796674E-2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2.5089089126369819E-6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3.786285940235808E-3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3.9119737951007876</v>
      </c>
      <c r="C14" s="22"/>
      <c r="D14" s="22">
        <f t="shared" ref="D14:M14" si="0">((D5)*10^9/3600)+D12</f>
        <v>4.7681022873663634</v>
      </c>
      <c r="E14" s="22">
        <f t="shared" si="0"/>
        <v>343.33394641521761</v>
      </c>
      <c r="F14" s="22"/>
      <c r="G14" s="22">
        <f t="shared" si="0"/>
        <v>75067.579525956142</v>
      </c>
      <c r="H14" s="22">
        <f t="shared" si="0"/>
        <v>11816.83071637369</v>
      </c>
      <c r="I14" s="22"/>
      <c r="J14" s="22"/>
      <c r="K14" s="22"/>
      <c r="L14" s="22"/>
      <c r="M14" s="22">
        <f t="shared" si="0"/>
        <v>3881.4556254133045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0.19614620502233107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0.76731881405582569</v>
      </c>
      <c r="C18" s="24"/>
      <c r="D18" s="24">
        <f t="shared" ref="D18:M18" si="1">D14*D16</f>
        <v>0.96315666204800543</v>
      </c>
      <c r="E18" s="24">
        <f t="shared" si="1"/>
        <v>77.936805836254393</v>
      </c>
      <c r="F18" s="24"/>
      <c r="G18" s="24">
        <f t="shared" si="1"/>
        <v>20043.043733430291</v>
      </c>
      <c r="H18" s="24">
        <f t="shared" si="1"/>
        <v>2942.3908483770488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9.5560368643714404E-6</v>
      </c>
      <c r="C50" s="316">
        <f t="shared" ref="C50:P50" si="2">SUM(C51:C52)</f>
        <v>0</v>
      </c>
      <c r="D50" s="316">
        <f t="shared" si="2"/>
        <v>0</v>
      </c>
      <c r="E50" s="316">
        <f t="shared" si="2"/>
        <v>0</v>
      </c>
      <c r="F50" s="316">
        <f t="shared" si="2"/>
        <v>0</v>
      </c>
      <c r="G50" s="316">
        <f t="shared" si="2"/>
        <v>1.905970392950029E-3</v>
      </c>
      <c r="H50" s="316">
        <f t="shared" si="2"/>
        <v>0</v>
      </c>
      <c r="I50" s="316">
        <f t="shared" si="2"/>
        <v>0</v>
      </c>
      <c r="J50" s="316">
        <f t="shared" si="2"/>
        <v>0</v>
      </c>
      <c r="K50" s="316">
        <f t="shared" si="2"/>
        <v>0</v>
      </c>
      <c r="L50" s="316">
        <f t="shared" si="2"/>
        <v>0</v>
      </c>
      <c r="M50" s="316">
        <f t="shared" si="2"/>
        <v>8.4241861395973141E-5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9.5560368643714404E-6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1.905970392950029E-3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8.4241861395973141E-5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2.6544546845476225</v>
      </c>
      <c r="C54" s="22">
        <f t="shared" ref="C54:P54" si="3">(C50)*10^9/3600</f>
        <v>0</v>
      </c>
      <c r="D54" s="22">
        <f t="shared" si="3"/>
        <v>0</v>
      </c>
      <c r="E54" s="22">
        <f t="shared" si="3"/>
        <v>0</v>
      </c>
      <c r="F54" s="22">
        <f t="shared" si="3"/>
        <v>0</v>
      </c>
      <c r="G54" s="22">
        <f t="shared" si="3"/>
        <v>529.43622026389687</v>
      </c>
      <c r="H54" s="22">
        <f t="shared" si="3"/>
        <v>0</v>
      </c>
      <c r="I54" s="22">
        <f t="shared" si="3"/>
        <v>0</v>
      </c>
      <c r="J54" s="22">
        <f t="shared" si="3"/>
        <v>0</v>
      </c>
      <c r="K54" s="22">
        <f t="shared" si="3"/>
        <v>0</v>
      </c>
      <c r="L54" s="22">
        <f t="shared" si="3"/>
        <v>0</v>
      </c>
      <c r="M54" s="22">
        <f t="shared" si="3"/>
        <v>23.400517054436985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0.19614620502233107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0.52066121277776511</v>
      </c>
      <c r="C58" s="24">
        <f t="shared" ref="C58:P58" ca="1" si="4">C54*C56</f>
        <v>0</v>
      </c>
      <c r="D58" s="24">
        <f t="shared" si="4"/>
        <v>0</v>
      </c>
      <c r="E58" s="24">
        <f t="shared" si="4"/>
        <v>0</v>
      </c>
      <c r="F58" s="24">
        <f t="shared" si="4"/>
        <v>0</v>
      </c>
      <c r="G58" s="24">
        <f t="shared" si="4"/>
        <v>141.35947081046046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3643.9299834508902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3643.9299834508902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2021-06-29T16:49:51Z</dcterms:modified>
</cp:coreProperties>
</file>