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H48" i="18"/>
  <c r="D48" i="18"/>
  <c r="N6" i="17"/>
  <c r="L6" i="17"/>
  <c r="F6" i="17"/>
  <c r="D6" i="17"/>
  <c r="C6" i="17"/>
  <c r="N16" i="16"/>
  <c r="L16" i="16"/>
  <c r="F16" i="16"/>
  <c r="D16" i="16"/>
  <c r="C16" i="16"/>
  <c r="B16" i="16"/>
  <c r="B13" i="15"/>
  <c r="I48" i="18" l="1"/>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76" i="14" l="1"/>
  <c r="J8" i="56" s="1"/>
  <c r="J10" i="56" s="1"/>
  <c r="I10" i="56"/>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<sst xmlns="http://schemas.openxmlformats.org/spreadsheetml/2006/main" count="2565" uniqueCount="965">
  <si>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</si>
  <si>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</si>
  <si>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</si>
  <si>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</si>
  <si>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</si>
  <si>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</si>
  <si>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</si>
  <si>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</si>
  <si>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</si>
  <si>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</si>
  <si>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</si>
  <si>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</si>
  <si>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</si>
  <si>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</si>
  <si>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</si>
  <si>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</si>
  <si>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</si>
  <si>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</si>
  <si>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</si>
  <si>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</si>
  <si>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</si>
  <si>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</si>
  <si>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</si>
  <si>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</si>
  <si>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</si>
  <si>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</si>
  <si>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</si>
  <si>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</si>
  <si>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</si>
  <si>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</si>
  <si>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</si>
  <si>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</si>
  <si>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</si>
  <si>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</si>
  <si>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</si>
  <si>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</si>
  <si>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</si>
  <si>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</si>
  <si>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</si>
  <si>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</si>
  <si>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</si>
  <si>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</si>
  <si>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</si>
  <si>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</si>
  <si>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</si>
  <si>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</si>
  <si>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</si>
  <si>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</si>
  <si>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</si>
  <si>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</si>
  <si>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</si>
  <si>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</si>
  <si>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</si>
  <si>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</si>
  <si>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</si>
  <si>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</si>
  <si>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</si>
  <si>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</si>
  <si>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</si>
  <si>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</si>
  <si>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</si>
  <si>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</si>
  <si>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</si>
  <si>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</si>
  <si>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</si>
  <si>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</si>
  <si>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</si>
  <si>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</si>
  <si>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</si>
  <si>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</si>
  <si>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</si>
  <si>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</si>
  <si>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</si>
  <si>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</si>
  <si>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</si>
  <si>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</si>
  <si>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</si>
  <si>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</si>
  <si>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</si>
  <si>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</si>
  <si>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</si>
  <si>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</si>
  <si>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</si>
  <si>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</si>
  <si>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</si>
  <si>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</si>
  <si>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</si>
  <si>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</si>
  <si>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</si>
  <si>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</si>
  <si>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</si>
  <si>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</si>
  <si>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</si>
  <si>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</si>
  <si>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</si>
  <si>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</si>
  <si>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</si>
  <si>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</si>
  <si>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</si>
  <si>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</si>
  <si>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</si>
  <si>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</si>
  <si>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</si>
  <si>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</si>
  <si>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</si>
  <si>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</si>
  <si>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</si>
  <si>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</si>
  <si>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</si>
  <si>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</si>
  <si>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</si>
  <si>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</si>
  <si>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</si>
  <si>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</si>
  <si>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</si>
  <si>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</si>
  <si>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</si>
  <si>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</si>
  <si>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</si>
  <si>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</si>
  <si>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</si>
  <si>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</si>
  <si>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</si>
  <si>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</si>
  <si>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</si>
  <si>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</si>
  <si>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</si>
  <si>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</si>
  <si>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</si>
  <si>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</si>
  <si>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</si>
  <si>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</si>
  <si>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</si>
  <si>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</si>
  <si>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</si>
  <si>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</si>
  <si>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</si>
  <si>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</si>
  <si>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</si>
  <si>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</si>
  <si>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</si>
  <si>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</si>
  <si>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</si>
  <si>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</si>
  <si>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</si>
  <si>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</si>
  <si>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</si>
  <si>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</si>
  <si>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</si>
  <si>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</si>
  <si>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</si>
  <si>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</si>
  <si>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</si>
  <si>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</si>
  <si>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</si>
  <si>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</si>
  <si>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</si>
  <si>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</si>
  <si>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</si>
  <si>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</si>
  <si>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</si>
  <si>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</si>
  <si>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</si>
  <si>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</si>
  <si>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</si>
  <si>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</si>
  <si>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</si>
  <si>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</si>
  <si>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</si>
  <si>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</si>
  <si>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</si>
  <si>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</si>
  <si>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</si>
  <si>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</si>
  <si>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</si>
  <si>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</si>
  <si>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</si>
  <si>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</si>
  <si>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</si>
  <si>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</si>
  <si>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</si>
  <si>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</si>
  <si>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</si>
  <si>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</si>
  <si>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</si>
  <si>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</si>
  <si>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</si>
  <si>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</si>
  <si>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</si>
  <si>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</si>
  <si>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</si>
  <si>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</si>
  <si>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</si>
  <si>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</si>
  <si>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</si>
  <si>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</si>
  <si>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</si>
  <si>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</si>
  <si>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</si>
  <si>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</si>
  <si>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</si>
  <si>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</si>
  <si>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</si>
  <si>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</si>
  <si>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</si>
  <si>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</si>
  <si>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</si>
  <si>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</si>
  <si>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</si>
  <si>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</si>
  <si>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</si>
  <si>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</si>
  <si>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</si>
  <si>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</si>
  <si>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</si>
  <si>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</si>
  <si>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</si>
  <si>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</si>
  <si>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</si>
  <si>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</si>
  <si>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</si>
  <si>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</si>
  <si>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</si>
  <si>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</si>
  <si>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</si>
  <si>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</si>
  <si>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</si>
  <si>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</si>
  <si>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</si>
  <si>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</si>
  <si>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</si>
  <si>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</si>
  <si>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</si>
  <si>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</si>
  <si>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</si>
  <si>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</si>
  <si>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</si>
  <si>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</si>
  <si>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</si>
  <si>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</si>
  <si>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</si>
  <si>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</si>
  <si>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</si>
  <si>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</si>
  <si>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</si>
  <si>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</si>
  <si>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</si>
  <si>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</si>
  <si>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</si>
  <si>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</si>
  <si>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</si>
  <si>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</si>
  <si>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</si>
  <si>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</si>
  <si>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</si>
  <si>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</si>
  <si>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</si>
  <si>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</si>
  <si>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</si>
  <si>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</si>
  <si>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</si>
  <si>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</si>
  <si>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</si>
  <si>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</si>
  <si>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</si>
  <si>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</si>
  <si>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</si>
  <si>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</si>
  <si>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</si>
  <si>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</si>
  <si>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</si>
  <si>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</si>
  <si>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</si>
  <si>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</si>
  <si>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</si>
  <si>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</si>
  <si>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</si>
  <si>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</si>
  <si>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</si>
  <si>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</si>
  <si>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</si>
  <si>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</si>
  <si>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</si>
  <si>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</si>
  <si>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</si>
  <si>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</si>
  <si>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</si>
  <si>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</si>
  <si>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</si>
  <si>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</si>
  <si>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</si>
  <si>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</si>
  <si>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</si>
  <si>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</si>
  <si>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</si>
  <si>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</si>
  <si>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</si>
  <si>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</si>
  <si>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</si>
  <si>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</si>
  <si>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</si>
  <si>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</si>
  <si>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</si>
  <si>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</si>
  <si>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</si>
  <si>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</si>
  <si>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</si>
  <si>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</si>
  <si>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</si>
  <si>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</si>
  <si>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</si>
  <si>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</si>
  <si>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</si>
  <si>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</si>
  <si>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</si>
  <si>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</si>
  <si>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</si>
  <si>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</si>
  <si>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</si>
  <si>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</si>
  <si>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</si>
  <si>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</si>
  <si>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</si>
  <si>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</si>
  <si>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</si>
  <si>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</si>
  <si>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</si>
  <si>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</si>
  <si>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</si>
  <si>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</si>
  <si>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</si>
  <si>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</si>
  <si>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</si>
  <si>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</si>
  <si>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</si>
  <si>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</si>
  <si>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</si>
  <si>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</si>
  <si>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</si>
  <si>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</si>
  <si>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</si>
  <si>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</si>
  <si>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</si>
  <si>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</si>
  <si>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</si>
  <si>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</si>
  <si>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</si>
  <si>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</si>
  <si>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</si>
  <si>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</si>
  <si>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</si>
  <si>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</si>
  <si>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</si>
  <si>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</si>
  <si>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</si>
  <si>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</si>
  <si>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</si>
  <si>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</si>
  <si>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</si>
  <si>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</si>
  <si>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</si>
  <si>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</si>
  <si>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</si>
  <si>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</si>
  <si>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</si>
  <si>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</si>
  <si>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</si>
  <si>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</si>
  <si>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</si>
  <si>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</si>
  <si>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</si>
  <si>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</si>
  <si>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</si>
  <si>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</si>
  <si>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</si>
  <si>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</si>
  <si>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</si>
  <si>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</si>
  <si>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</si>
  <si>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</si>
  <si>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</si>
  <si>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</si>
  <si>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</si>
  <si>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</si>
  <si>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</si>
  <si>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</si>
  <si>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</si>
  <si>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</si>
  <si>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</si>
  <si>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</si>
  <si>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</si>
  <si>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</si>
  <si>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</si>
  <si>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</si>
  <si>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</si>
  <si>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</si>
  <si>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</si>
  <si>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</si>
  <si>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</si>
  <si>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</si>
  <si>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</si>
  <si>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</si>
  <si>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</si>
  <si>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</si>
  <si>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</si>
  <si>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</si>
  <si>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</si>
  <si>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</si>
  <si>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</si>
  <si>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</si>
  <si>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</si>
  <si>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</si>
  <si>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</si>
  <si>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</si>
  <si>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</si>
  <si>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</si>
  <si>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</si>
  <si>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</si>
  <si>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</si>
  <si>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</si>
  <si>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</si>
  <si>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</si>
  <si>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</si>
  <si>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</si>
  <si>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</si>
  <si>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</si>
  <si>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</si>
  <si>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</si>
  <si>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</si>
  <si>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</si>
  <si>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</si>
  <si>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</si>
  <si>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</si>
  <si>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</si>
  <si>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</si>
  <si>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</si>
  <si>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</si>
  <si>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</si>
  <si>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</si>
  <si>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</si>
  <si>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</si>
  <si>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</si>
  <si>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</si>
  <si>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</si>
  <si>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</si>
  <si>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</si>
  <si>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</si>
  <si>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</si>
  <si>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</si>
  <si>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</si>
  <si>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</si>
  <si>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</si>
  <si>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</si>
  <si>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</si>
  <si>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</si>
  <si>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</si>
  <si>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</si>
  <si>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</si>
  <si>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</si>
  <si>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</si>
  <si>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</si>
  <si>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</si>
  <si>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</si>
  <si>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</si>
  <si>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</si>
  <si>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</si>
  <si>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</si>
  <si>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</si>
  <si>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</si>
  <si>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</si>
  <si>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</si>
  <si>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</si>
  <si>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</si>
  <si>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</si>
  <si>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</si>
  <si>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</si>
  <si>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</si>
  <si>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</si>
  <si>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</si>
  <si>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</si>
  <si>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</si>
  <si>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</si>
  <si>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</si>
  <si>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</si>
  <si>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</si>
  <si>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</si>
  <si>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</si>
  <si>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</si>
  <si>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</si>
  <si>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</si>
  <si>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</si>
  <si>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</si>
  <si>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</si>
  <si>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</si>
  <si>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</si>
  <si>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</si>
  <si>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</si>
  <si>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</si>
  <si>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</si>
  <si>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</si>
  <si>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</si>
  <si>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</si>
  <si>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</si>
  <si>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</si>
  <si>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</si>
  <si>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</si>
  <si>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</si>
  <si>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</si>
  <si>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</si>
  <si>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</si>
  <si>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</si>
  <si>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</si>
  <si>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</si>
  <si>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</si>
  <si>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</si>
  <si>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</si>
  <si>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</si>
  <si>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</si>
  <si>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</si>
  <si>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</si>
  <si>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</si>
  <si>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</si>
  <si>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</si>
  <si>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</si>
  <si>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</si>
  <si>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</si>
  <si>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</si>
  <si>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</si>
  <si>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</si>
  <si>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</si>
  <si>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</si>
  <si>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</si>
  <si>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</si>
  <si>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</si>
  <si>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</si>
  <si>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</si>
  <si>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</si>
  <si>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</si>
  <si>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</si>
  <si>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</si>
  <si>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</si>
  <si>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</si>
  <si>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</si>
  <si>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</si>
  <si>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</si>
  <si>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</si>
  <si>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</si>
  <si>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</si>
  <si>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</si>
  <si>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</si>
  <si>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</si>
  <si>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</si>
  <si>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</si>
  <si>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</si>
  <si>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</si>
  <si>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</si>
  <si>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</si>
  <si>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</si>
  <si>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</si>
  <si>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</si>
  <si>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</si>
  <si>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</si>
  <si>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</si>
  <si>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</si>
  <si>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</si>
  <si>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</si>
  <si>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</si>
  <si>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</si>
  <si>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</si>
  <si>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</si>
  <si>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</si>
  <si>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</si>
  <si>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</si>
  <si>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</si>
  <si>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</si>
  <si>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</si>
  <si>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</si>
  <si>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</si>
  <si>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</si>
  <si>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</si>
  <si>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</si>
  <si>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</si>
  <si>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</si>
  <si>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</si>
  <si>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</si>
  <si>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</si>
  <si>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</si>
  <si>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</si>
  <si>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</si>
  <si>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</si>
  <si>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</si>
  <si>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</si>
  <si>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</si>
  <si>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</si>
  <si>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</si>
  <si>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</si>
  <si>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</si>
  <si>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</si>
  <si>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</si>
  <si>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</si>
  <si>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</si>
  <si>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</si>
  <si>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</si>
  <si>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</si>
  <si>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</si>
  <si>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</si>
  <si>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</si>
  <si>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</si>
  <si>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</si>
  <si>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</si>
  <si>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</si>
  <si>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</si>
  <si>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</si>
  <si>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</si>
  <si>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</si>
  <si>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</si>
  <si>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</si>
  <si>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</si>
  <si>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</si>
  <si>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</si>
  <si>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</si>
  <si>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</si>
  <si>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</si>
  <si>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</si>
  <si>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</si>
  <si>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</si>
  <si>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</si>
  <si>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</si>
  <si>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</si>
  <si>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</si>
  <si>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</si>
  <si>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</si>
  <si>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</si>
  <si>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</si>
  <si>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</si>
  <si>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</si>
  <si>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</si>
  <si>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</si>
  <si>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</si>
  <si>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</si>
  <si>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</si>
  <si>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</si>
  <si>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</si>
  <si>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</si>
  <si>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</si>
  <si>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</si>
  <si>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</si>
  <si>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</si>
  <si>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</si>
  <si>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</si>
  <si>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</si>
  <si>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</si>
  <si>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</si>
  <si>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</si>
  <si>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</si>
  <si>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</si>
  <si>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</si>
  <si>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</si>
  <si>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</si>
  <si>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</si>
  <si>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</si>
  <si>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</si>
  <si>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</si>
  <si>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</si>
  <si>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</si>
  <si>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</si>
  <si>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</si>
  <si>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</si>
  <si>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</si>
  <si>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</si>
  <si>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</si>
  <si>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</si>
  <si>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</si>
  <si>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</si>
  <si>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</si>
  <si>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</si>
  <si>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</si>
  <si>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</si>
  <si>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</si>
  <si>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</si>
  <si>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</si>
  <si>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</si>
  <si>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</si>
  <si>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</si>
  <si>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</si>
  <si>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</si>
  <si>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</si>
  <si>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</si>
  <si>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</si>
  <si>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</si>
  <si>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</si>
  <si>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</si>
  <si>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</si>
  <si>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</si>
  <si>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</si>
  <si>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</si>
  <si>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</si>
  <si>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</si>
  <si>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</si>
  <si>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</si>
  <si>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</si>
  <si>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</si>
  <si>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</si>
  <si>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</si>
  <si>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</si>
  <si>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</si>
  <si>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</si>
  <si>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</si>
  <si>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</si>
  <si>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</si>
  <si>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</si>
  <si>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</si>
  <si>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</si>
  <si>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</si>
  <si>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</si>
  <si>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</si>
  <si>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</si>
  <si>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</si>
  <si>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</si>
  <si>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</si>
  <si>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</si>
  <si>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</si>
  <si>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</si>
  <si>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</si>
  <si>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</si>
  <si>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</si>
  <si>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</si>
  <si>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</si>
  <si>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</si>
  <si>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</si>
  <si>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</si>
  <si>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</si>
  <si>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</si>
  <si>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</si>
  <si>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</si>
  <si>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</si>
  <si>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</si>
  <si>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</si>
  <si>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</si>
  <si>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</si>
  <si>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</si>
  <si>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</si>
  <si>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</si>
  <si>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</si>
  <si>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</si>
  <si>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</si>
  <si>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</si>
  <si>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</si>
  <si>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</si>
  <si>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</si>
  <si>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</si>
  <si>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</si>
  <si>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</si>
  <si>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</si>
  <si>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</si>
  <si>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</si>
  <si>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</si>
  <si>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</si>
  <si>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</si>
  <si>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</si>
  <si>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</si>
  <si>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</si>
  <si>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</si>
  <si>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</si>
  <si>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</si>
  <si>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</si>
  <si>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</si>
  <si>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</si>
  <si>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</si>
  <si>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</si>
  <si>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</si>
  <si>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</si>
  <si>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</si>
  <si>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</si>
  <si>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</si>
  <si>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</si>
  <si>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</si>
  <si>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</si>
  <si>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</si>
  <si>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</si>
  <si>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</si>
  <si>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</si>
  <si>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</si>
  <si>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</si>
  <si>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</si>
  <si>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</si>
  <si>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</si>
  <si>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</si>
  <si>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</si>
  <si>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</si>
  <si>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</si>
  <si>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</si>
  <si>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</si>
  <si>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</si>
  <si>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</si>
  <si>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</si>
  <si>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</si>
  <si>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</si>
  <si>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</si>
  <si>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</si>
  <si>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</si>
  <si>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</si>
  <si>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</si>
  <si>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</si>
  <si>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</si>
  <si>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</si>
  <si>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</si>
  <si>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</si>
  <si>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</si>
  <si>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</si>
  <si>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</si>
  <si>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</si>
  <si>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</si>
  <si>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</si>
  <si>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</si>
  <si>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</si>
  <si>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</si>
  <si>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</si>
  <si>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</si>
  <si>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</si>
  <si>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</si>
  <si>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</si>
  <si>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</si>
  <si>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</si>
  <si>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</si>
  <si>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</si>
  <si>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</si>
  <si>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</si>
  <si>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</si>
  <si>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</si>
  <si>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</si>
  <si>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</si>
  <si>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</si>
  <si>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</si>
  <si>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</si>
  <si>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</si>
  <si>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</si>
  <si>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</si>
  <si>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</si>
  <si>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</si>
  <si>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</si>
  <si>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</si>
  <si>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</si>
  <si>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</si>
  <si>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</si>
  <si>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</si>
  <si>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</si>
  <si>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</si>
  <si>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</si>
  <si>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</si>
  <si>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</si>
  <si>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</si>
  <si>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</si>
  <si>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</si>
  <si>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</si>
  <si>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</si>
  <si>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</si>
  <si>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</si>
  <si>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</si>
  <si>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</si>
  <si>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</si>
  <si>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</si>
  <si>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</si>
  <si>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</si>
  <si>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</si>
  <si>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</si>
  <si>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</si>
  <si>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</si>
  <si>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</si>
  <si>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</si>
  <si>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</si>
  <si>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</si>
  <si>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</si>
  <si>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</si>
  <si>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</si>
  <si>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</si>
  <si>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</si>
  <si>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</si>
  <si>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</si>
  <si>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</si>
  <si>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</si>
  <si>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</si>
  <si>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</si>
  <si>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</si>
  <si>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</si>
  <si>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</si>
  <si>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</si>
  <si>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</si>
  <si>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</si>
  <si>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</si>
  <si>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</si>
  <si>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</si>
  <si>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</si>
  <si>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</si>
  <si>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</si>
  <si>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</si>
  <si>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</si>
  <si>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</si>
  <si>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</si>
  <si>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</si>
  <si>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</si>
  <si>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</si>
  <si>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</si>
  <si>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</si>
  <si>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</si>
  <si>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</si>
  <si>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</si>
  <si>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</si>
  <si>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</si>
  <si>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</si>
  <si>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</si>
  <si>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</si>
  <si>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</si>
  <si>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</si>
  <si>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</si>
  <si>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</si>
  <si>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</si>
  <si>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</si>
  <si>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</si>
  <si>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</si>
  <si>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</si>
  <si>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</si>
  <si>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</si>
  <si>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</si>
  <si>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</si>
  <si>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</si>
  <si>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</si>
  <si>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</si>
  <si>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</si>
  <si>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</si>
  <si>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</si>
  <si>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</si>
  <si>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</si>
  <si>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</si>
  <si>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</si>
  <si>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</si>
  <si>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</si>
  <si>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</si>
  <si>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</si>
  <si>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</si>
  <si>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</si>
  <si>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</si>
  <si>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</si>
  <si>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</si>
  <si>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</si>
  <si>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</si>
  <si>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</si>
  <si>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</si>
  <si>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</si>
  <si>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</si>
  <si>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</si>
  <si>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</si>
  <si>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</si>
  <si>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</si>
  <si>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</si>
  <si>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</si>
  <si>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</si>
  <si>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</si>
  <si>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</si>
  <si>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73028</t>
  </si>
  <si>
    <t>HERSTAPPE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</si>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</sst>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73028</v>
      </c>
      <c r="B6" s="386"/>
      <c r="C6" s="387"/>
    </row>
    <row r="7" spans="1:7" s="384" customFormat="1" ht="15.75" customHeight="1">
      <c r="A7" s="388" t="str">
        <f>txtMunicipality</f>
        <v>HERSTAPPE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58.89</v>
      </c>
      <c r="D10" s="676">
        <f ca="1">tertiair!C16</f>
        <v>0</v>
      </c>
      <c r="E10" s="676">
        <f ca="1">tertiair!D16</f>
        <v>87.586004000000003</v>
      </c>
      <c r="F10" s="676">
        <f>tertiair!E16</f>
        <v>0.41245530325807722</v>
      </c>
      <c r="G10" s="676">
        <f ca="1">tertiair!F16</f>
        <v>9.5084080833662377</v>
      </c>
      <c r="H10" s="676">
        <f>tertiair!G16</f>
        <v>0</v>
      </c>
      <c r="I10" s="676">
        <f>tertiair!H16</f>
        <v>0</v>
      </c>
      <c r="J10" s="676">
        <f>tertiair!I16</f>
        <v>0</v>
      </c>
      <c r="K10" s="676">
        <f>tertiair!J16</f>
        <v>0</v>
      </c>
      <c r="L10" s="676">
        <f>tertiair!K16</f>
        <v>0</v>
      </c>
      <c r="M10" s="676">
        <f ca="1">tertiair!L16</f>
        <v>0</v>
      </c>
      <c r="N10" s="676">
        <f>tertiair!M16</f>
        <v>0</v>
      </c>
      <c r="O10" s="676">
        <f ca="1">tertiair!N16</f>
        <v>3.1397349572558553</v>
      </c>
      <c r="P10" s="676">
        <f>tertiair!O16</f>
        <v>0</v>
      </c>
      <c r="Q10" s="677">
        <f>tertiair!P16</f>
        <v>0</v>
      </c>
      <c r="R10" s="679">
        <f ca="1">SUM(C10:Q10)</f>
        <v>159.53660234388016</v>
      </c>
      <c r="S10" s="68"/>
    </row>
    <row r="11" spans="1:19" s="445" customFormat="1">
      <c r="A11" s="791" t="s">
        <v>220</v>
      </c>
      <c r="B11" s="796"/>
      <c r="C11" s="676">
        <f>huishoudens!B8</f>
        <v>169.63854428481898</v>
      </c>
      <c r="D11" s="676">
        <f>huishoudens!C8</f>
        <v>0</v>
      </c>
      <c r="E11" s="676">
        <f>huishoudens!D8</f>
        <v>201.063918</v>
      </c>
      <c r="F11" s="676">
        <f>huishoudens!E8</f>
        <v>12.742971838971346</v>
      </c>
      <c r="G11" s="676">
        <f>huishoudens!F8</f>
        <v>388.49621475283118</v>
      </c>
      <c r="H11" s="676">
        <f>huishoudens!G8</f>
        <v>0</v>
      </c>
      <c r="I11" s="676">
        <f>huishoudens!H8</f>
        <v>0</v>
      </c>
      <c r="J11" s="676">
        <f>huishoudens!I8</f>
        <v>0</v>
      </c>
      <c r="K11" s="676">
        <f>huishoudens!J8</f>
        <v>7.0491284468025839</v>
      </c>
      <c r="L11" s="676">
        <f>huishoudens!K8</f>
        <v>0</v>
      </c>
      <c r="M11" s="676">
        <f>huishoudens!L8</f>
        <v>0</v>
      </c>
      <c r="N11" s="676">
        <f>huishoudens!M8</f>
        <v>0</v>
      </c>
      <c r="O11" s="676">
        <f>huishoudens!N8</f>
        <v>53.460154474728</v>
      </c>
      <c r="P11" s="676">
        <f>huishoudens!O8</f>
        <v>1.5633333333333335</v>
      </c>
      <c r="Q11" s="677">
        <f>huishoudens!P8</f>
        <v>0</v>
      </c>
      <c r="R11" s="679">
        <f>SUM(C11:Q11)</f>
        <v>834.01426513148544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11.263</v>
      </c>
      <c r="D13" s="676">
        <f>industrie!C18</f>
        <v>0</v>
      </c>
      <c r="E13" s="676">
        <f>industrie!D18</f>
        <v>0</v>
      </c>
      <c r="F13" s="676">
        <f>industrie!E18</f>
        <v>0.1012058371221065</v>
      </c>
      <c r="G13" s="676">
        <f>industrie!F18</f>
        <v>2.2179152585717903</v>
      </c>
      <c r="H13" s="676">
        <f>industrie!G18</f>
        <v>0</v>
      </c>
      <c r="I13" s="676">
        <f>industrie!H18</f>
        <v>0</v>
      </c>
      <c r="J13" s="676">
        <f>industrie!I18</f>
        <v>0</v>
      </c>
      <c r="K13" s="676">
        <f>industrie!J18</f>
        <v>5.6639041050189638E-2</v>
      </c>
      <c r="L13" s="676">
        <f>industrie!K18</f>
        <v>0</v>
      </c>
      <c r="M13" s="676">
        <f>industrie!L18</f>
        <v>0</v>
      </c>
      <c r="N13" s="676">
        <f>industrie!M18</f>
        <v>0</v>
      </c>
      <c r="O13" s="676">
        <f>industrie!N18</f>
        <v>0.3457444280573147</v>
      </c>
      <c r="P13" s="676">
        <f>industrie!O18</f>
        <v>0</v>
      </c>
      <c r="Q13" s="677">
        <f>industrie!P18</f>
        <v>0</v>
      </c>
      <c r="R13" s="679">
        <f>SUM(C13:Q13)</f>
        <v>13.9845045648014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239.79154428481897</v>
      </c>
      <c r="D16" s="709">
        <f t="shared" ref="D16:R16" ca="1" si="0">SUM(D9:D15)</f>
        <v>0</v>
      </c>
      <c r="E16" s="709">
        <f t="shared" ca="1" si="0"/>
        <v>288.649922</v>
      </c>
      <c r="F16" s="709">
        <f t="shared" si="0"/>
        <v>13.256632979351531</v>
      </c>
      <c r="G16" s="709">
        <f t="shared" ca="1" si="0"/>
        <v>400.22253809476922</v>
      </c>
      <c r="H16" s="709">
        <f t="shared" si="0"/>
        <v>0</v>
      </c>
      <c r="I16" s="709">
        <f t="shared" si="0"/>
        <v>0</v>
      </c>
      <c r="J16" s="709">
        <f t="shared" si="0"/>
        <v>0</v>
      </c>
      <c r="K16" s="709">
        <f t="shared" si="0"/>
        <v>7.1057674878527735</v>
      </c>
      <c r="L16" s="709">
        <f t="shared" si="0"/>
        <v>0</v>
      </c>
      <c r="M16" s="709">
        <f t="shared" ca="1" si="0"/>
        <v>0</v>
      </c>
      <c r="N16" s="709">
        <f t="shared" si="0"/>
        <v>0</v>
      </c>
      <c r="O16" s="709">
        <f t="shared" ca="1" si="0"/>
        <v>56.94563386004117</v>
      </c>
      <c r="P16" s="709">
        <f t="shared" si="0"/>
        <v>1.5633333333333335</v>
      </c>
      <c r="Q16" s="709">
        <f t="shared" si="0"/>
        <v>0</v>
      </c>
      <c r="R16" s="709">
        <f t="shared" ca="1" si="0"/>
        <v>1007.5353720401671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8.1576824137638504E-2</v>
      </c>
      <c r="D19" s="676">
        <f>transport!C54</f>
        <v>0</v>
      </c>
      <c r="E19" s="676">
        <f>transport!D54</f>
        <v>0</v>
      </c>
      <c r="F19" s="676">
        <f>transport!E54</f>
        <v>0</v>
      </c>
      <c r="G19" s="676">
        <f>transport!F54</f>
        <v>0</v>
      </c>
      <c r="H19" s="676">
        <f>transport!G54</f>
        <v>16.270658408291666</v>
      </c>
      <c r="I19" s="676">
        <f>transport!H54</f>
        <v>0</v>
      </c>
      <c r="J19" s="676">
        <f>transport!I54</f>
        <v>0</v>
      </c>
      <c r="K19" s="676">
        <f>transport!J54</f>
        <v>0</v>
      </c>
      <c r="L19" s="676">
        <f>transport!K54</f>
        <v>0</v>
      </c>
      <c r="M19" s="676">
        <f>transport!L54</f>
        <v>0</v>
      </c>
      <c r="N19" s="676">
        <f>transport!M54</f>
        <v>0.71914577242253508</v>
      </c>
      <c r="O19" s="676">
        <f>transport!N54</f>
        <v>0</v>
      </c>
      <c r="P19" s="676">
        <f>transport!O54</f>
        <v>0</v>
      </c>
      <c r="Q19" s="677">
        <f>transport!P54</f>
        <v>0</v>
      </c>
      <c r="R19" s="679">
        <f>SUM(C19:Q19)</f>
        <v>17.07138100485184</v>
      </c>
      <c r="S19" s="68"/>
    </row>
    <row r="20" spans="1:19" s="445" customFormat="1">
      <c r="A20" s="791" t="s">
        <v>302</v>
      </c>
      <c r="B20" s="796"/>
      <c r="C20" s="676">
        <f>transport!B14</f>
        <v>0.14353981453580378</v>
      </c>
      <c r="D20" s="676">
        <f>transport!C14</f>
        <v>0</v>
      </c>
      <c r="E20" s="676">
        <f>transport!D14</f>
        <v>0.18131228120944823</v>
      </c>
      <c r="F20" s="676">
        <f>transport!E14</f>
        <v>11.610351934702306</v>
      </c>
      <c r="G20" s="676">
        <f>transport!F14</f>
        <v>0</v>
      </c>
      <c r="H20" s="676">
        <f>transport!G14</f>
        <v>2250.1090032870634</v>
      </c>
      <c r="I20" s="676">
        <f>transport!H14</f>
        <v>437.19904530124558</v>
      </c>
      <c r="J20" s="676">
        <f>transport!I14</f>
        <v>0</v>
      </c>
      <c r="K20" s="676">
        <f>transport!J14</f>
        <v>0</v>
      </c>
      <c r="L20" s="676">
        <f>transport!K14</f>
        <v>0</v>
      </c>
      <c r="M20" s="676">
        <f>transport!L14</f>
        <v>0</v>
      </c>
      <c r="N20" s="676">
        <f>transport!M14</f>
        <v>120.14622257961543</v>
      </c>
      <c r="O20" s="676">
        <f>transport!N14</f>
        <v>0</v>
      </c>
      <c r="P20" s="676">
        <f>transport!O14</f>
        <v>0</v>
      </c>
      <c r="Q20" s="677">
        <f>transport!P14</f>
        <v>0</v>
      </c>
      <c r="R20" s="679">
        <f>SUM(C20:Q20)</f>
        <v>2819.3894751983717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0.22511663867344228</v>
      </c>
      <c r="D22" s="794">
        <f t="shared" ref="D22:R22" si="1">SUM(D18:D21)</f>
        <v>0</v>
      </c>
      <c r="E22" s="794">
        <f t="shared" si="1"/>
        <v>0.18131228120944823</v>
      </c>
      <c r="F22" s="794">
        <f t="shared" si="1"/>
        <v>11.610351934702306</v>
      </c>
      <c r="G22" s="794">
        <f t="shared" si="1"/>
        <v>0</v>
      </c>
      <c r="H22" s="794">
        <f t="shared" si="1"/>
        <v>2266.379661695355</v>
      </c>
      <c r="I22" s="794">
        <f t="shared" si="1"/>
        <v>437.19904530124558</v>
      </c>
      <c r="J22" s="794">
        <f t="shared" si="1"/>
        <v>0</v>
      </c>
      <c r="K22" s="794">
        <f t="shared" si="1"/>
        <v>0</v>
      </c>
      <c r="L22" s="794">
        <f t="shared" si="1"/>
        <v>0</v>
      </c>
      <c r="M22" s="794">
        <f t="shared" si="1"/>
        <v>0</v>
      </c>
      <c r="N22" s="794">
        <f t="shared" si="1"/>
        <v>120.86536835203796</v>
      </c>
      <c r="O22" s="794">
        <f t="shared" si="1"/>
        <v>0</v>
      </c>
      <c r="P22" s="794">
        <f t="shared" si="1"/>
        <v>0</v>
      </c>
      <c r="Q22" s="794">
        <f t="shared" si="1"/>
        <v>0</v>
      </c>
      <c r="R22" s="794">
        <f t="shared" si="1"/>
        <v>2836.4608562032236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42.893000000000001</v>
      </c>
      <c r="D24" s="676">
        <f>+landbouw!C8</f>
        <v>0</v>
      </c>
      <c r="E24" s="676">
        <f>+landbouw!D8</f>
        <v>47.048319999999997</v>
      </c>
      <c r="F24" s="676">
        <f>+landbouw!E8</f>
        <v>0.40408079925273654</v>
      </c>
      <c r="G24" s="676">
        <f>+landbouw!F8</f>
        <v>139.97409393654144</v>
      </c>
      <c r="H24" s="676">
        <f>+landbouw!G8</f>
        <v>0</v>
      </c>
      <c r="I24" s="676">
        <f>+landbouw!H8</f>
        <v>0</v>
      </c>
      <c r="J24" s="676">
        <f>+landbouw!I8</f>
        <v>0</v>
      </c>
      <c r="K24" s="676">
        <f>+landbouw!J8</f>
        <v>5.3060727315119243</v>
      </c>
      <c r="L24" s="676">
        <f>+landbouw!K8</f>
        <v>0</v>
      </c>
      <c r="M24" s="676">
        <f>+landbouw!L8</f>
        <v>0</v>
      </c>
      <c r="N24" s="676">
        <f>+landbouw!M8</f>
        <v>0</v>
      </c>
      <c r="O24" s="676">
        <f>+landbouw!N8</f>
        <v>0</v>
      </c>
      <c r="P24" s="676">
        <f>+landbouw!O8</f>
        <v>0</v>
      </c>
      <c r="Q24" s="677">
        <f>+landbouw!P8</f>
        <v>0</v>
      </c>
      <c r="R24" s="679">
        <f>SUM(C24:Q24)</f>
        <v>235.6255674673061</v>
      </c>
      <c r="S24" s="68"/>
    </row>
    <row r="25" spans="1:19" s="445" customFormat="1" ht="15" thickBot="1">
      <c r="A25" s="813" t="s">
        <v>879</v>
      </c>
      <c r="B25" s="979"/>
      <c r="C25" s="980">
        <f>IF(Onbekend_ele_kWh="---",0,Onbekend_ele_kWh)/1000+IF(REST_rest_ele_kWh="---",0,REST_rest_ele_kWh)/1000</f>
        <v>0</v>
      </c>
      <c r="D25" s="980"/>
      <c r="E25" s="980">
        <f>IF(onbekend_gas_kWh="---",0,onbekend_gas_kWh)/1000+IF(REST_rest_gas_kWh="---",0,REST_rest_gas_kWh)/1000</f>
        <v>11.416</v>
      </c>
      <c r="F25" s="980"/>
      <c r="G25" s="980"/>
      <c r="H25" s="980"/>
      <c r="I25" s="980"/>
      <c r="J25" s="980"/>
      <c r="K25" s="980"/>
      <c r="L25" s="980"/>
      <c r="M25" s="980"/>
      <c r="N25" s="980"/>
      <c r="O25" s="980"/>
      <c r="P25" s="980"/>
      <c r="Q25" s="981"/>
      <c r="R25" s="679">
        <f>SUM(C25:Q25)</f>
        <v>11.416</v>
      </c>
      <c r="S25" s="68"/>
    </row>
    <row r="26" spans="1:19" s="445" customFormat="1" ht="15.75" thickBot="1">
      <c r="A26" s="682" t="s">
        <v>880</v>
      </c>
      <c r="B26" s="799"/>
      <c r="C26" s="794">
        <f>SUM(C24:C25)</f>
        <v>42.893000000000001</v>
      </c>
      <c r="D26" s="794">
        <f t="shared" ref="D26:R26" si="2">SUM(D24:D25)</f>
        <v>0</v>
      </c>
      <c r="E26" s="794">
        <f t="shared" si="2"/>
        <v>58.464320000000001</v>
      </c>
      <c r="F26" s="794">
        <f t="shared" si="2"/>
        <v>0.40408079925273654</v>
      </c>
      <c r="G26" s="794">
        <f t="shared" si="2"/>
        <v>139.97409393654144</v>
      </c>
      <c r="H26" s="794">
        <f t="shared" si="2"/>
        <v>0</v>
      </c>
      <c r="I26" s="794">
        <f t="shared" si="2"/>
        <v>0</v>
      </c>
      <c r="J26" s="794">
        <f t="shared" si="2"/>
        <v>0</v>
      </c>
      <c r="K26" s="794">
        <f t="shared" si="2"/>
        <v>5.3060727315119243</v>
      </c>
      <c r="L26" s="794">
        <f t="shared" si="2"/>
        <v>0</v>
      </c>
      <c r="M26" s="794">
        <f t="shared" si="2"/>
        <v>0</v>
      </c>
      <c r="N26" s="794">
        <f t="shared" si="2"/>
        <v>0</v>
      </c>
      <c r="O26" s="794">
        <f t="shared" si="2"/>
        <v>0</v>
      </c>
      <c r="P26" s="794">
        <f t="shared" si="2"/>
        <v>0</v>
      </c>
      <c r="Q26" s="794">
        <f t="shared" si="2"/>
        <v>0</v>
      </c>
      <c r="R26" s="794">
        <f t="shared" si="2"/>
        <v>247.04156746730609</v>
      </c>
      <c r="S26" s="68"/>
    </row>
    <row r="27" spans="1:19" s="445" customFormat="1" ht="17.25" thickTop="1" thickBot="1">
      <c r="A27" s="683" t="s">
        <v>115</v>
      </c>
      <c r="B27" s="786"/>
      <c r="C27" s="684">
        <f ca="1">C22+C16+C26</f>
        <v>282.90966092349242</v>
      </c>
      <c r="D27" s="684">
        <f t="shared" ref="D27:R27" ca="1" si="3">D22+D16+D26</f>
        <v>0</v>
      </c>
      <c r="E27" s="684">
        <f t="shared" ca="1" si="3"/>
        <v>347.29555428120943</v>
      </c>
      <c r="F27" s="684">
        <f t="shared" si="3"/>
        <v>25.271065713306573</v>
      </c>
      <c r="G27" s="684">
        <f t="shared" ca="1" si="3"/>
        <v>540.19663203131063</v>
      </c>
      <c r="H27" s="684">
        <f t="shared" si="3"/>
        <v>2266.379661695355</v>
      </c>
      <c r="I27" s="684">
        <f t="shared" si="3"/>
        <v>437.19904530124558</v>
      </c>
      <c r="J27" s="684">
        <f t="shared" si="3"/>
        <v>0</v>
      </c>
      <c r="K27" s="684">
        <f t="shared" si="3"/>
        <v>12.411840219364699</v>
      </c>
      <c r="L27" s="684">
        <f t="shared" si="3"/>
        <v>0</v>
      </c>
      <c r="M27" s="684">
        <f t="shared" ca="1" si="3"/>
        <v>0</v>
      </c>
      <c r="N27" s="684">
        <f t="shared" si="3"/>
        <v>120.86536835203796</v>
      </c>
      <c r="O27" s="684">
        <f t="shared" ca="1" si="3"/>
        <v>56.94563386004117</v>
      </c>
      <c r="P27" s="684">
        <f t="shared" si="3"/>
        <v>1.5633333333333335</v>
      </c>
      <c r="Q27" s="684">
        <f t="shared" si="3"/>
        <v>0</v>
      </c>
      <c r="R27" s="684">
        <f t="shared" ca="1" si="3"/>
        <v>4091.0377957106966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11.878575146625968</v>
      </c>
      <c r="D40" s="676">
        <f ca="1">tertiair!C20</f>
        <v>0</v>
      </c>
      <c r="E40" s="676">
        <f ca="1">tertiair!D20</f>
        <v>17.692372808000002</v>
      </c>
      <c r="F40" s="676">
        <f>tertiair!E20</f>
        <v>9.3627353839583538E-2</v>
      </c>
      <c r="G40" s="676">
        <f ca="1">tertiair!F20</f>
        <v>2.5387449582587855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32.20332026672434</v>
      </c>
    </row>
    <row r="41" spans="1:18">
      <c r="A41" s="804" t="s">
        <v>220</v>
      </c>
      <c r="B41" s="811"/>
      <c r="C41" s="676">
        <f ca="1">huishoudens!B12</f>
        <v>34.21742564189946</v>
      </c>
      <c r="D41" s="676">
        <f ca="1">huishoudens!C12</f>
        <v>0</v>
      </c>
      <c r="E41" s="676">
        <f>huishoudens!D12</f>
        <v>40.614911436</v>
      </c>
      <c r="F41" s="676">
        <f>huishoudens!E12</f>
        <v>2.8926546074464956</v>
      </c>
      <c r="G41" s="676">
        <f>huishoudens!F12</f>
        <v>103.72848933900593</v>
      </c>
      <c r="H41" s="676">
        <f>huishoudens!G12</f>
        <v>0</v>
      </c>
      <c r="I41" s="676">
        <f>huishoudens!H12</f>
        <v>0</v>
      </c>
      <c r="J41" s="676">
        <f>huishoudens!I12</f>
        <v>0</v>
      </c>
      <c r="K41" s="676">
        <f>huishoudens!J12</f>
        <v>2.4953914701681144</v>
      </c>
      <c r="L41" s="676">
        <f>huishoudens!K12</f>
        <v>0</v>
      </c>
      <c r="M41" s="676">
        <f>huishoudens!L12</f>
        <v>0</v>
      </c>
      <c r="N41" s="676">
        <f>huishoudens!M12</f>
        <v>0</v>
      </c>
      <c r="O41" s="676">
        <f>huishoudens!N12</f>
        <v>0</v>
      </c>
      <c r="P41" s="676">
        <f>huishoudens!O12</f>
        <v>0</v>
      </c>
      <c r="Q41" s="751">
        <f>huishoudens!P12</f>
        <v>0</v>
      </c>
      <c r="R41" s="832">
        <f t="shared" ca="1" si="4"/>
        <v>183.94887249452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2.2718354877984086</v>
      </c>
      <c r="D43" s="676">
        <f ca="1">industrie!C22</f>
        <v>0</v>
      </c>
      <c r="E43" s="676">
        <f>industrie!D22</f>
        <v>0</v>
      </c>
      <c r="F43" s="676">
        <f>industrie!E22</f>
        <v>2.2973725026718177E-2</v>
      </c>
      <c r="G43" s="676">
        <f>industrie!F22</f>
        <v>0.59218337403866805</v>
      </c>
      <c r="H43" s="676">
        <f>industrie!G22</f>
        <v>0</v>
      </c>
      <c r="I43" s="676">
        <f>industrie!H22</f>
        <v>0</v>
      </c>
      <c r="J43" s="676">
        <f>industrie!I22</f>
        <v>0</v>
      </c>
      <c r="K43" s="676">
        <f>industrie!J22</f>
        <v>2.0050220531767131E-2</v>
      </c>
      <c r="L43" s="676">
        <f>industrie!K22</f>
        <v>0</v>
      </c>
      <c r="M43" s="676">
        <f>industrie!L22</f>
        <v>0</v>
      </c>
      <c r="N43" s="676">
        <f>industrie!M22</f>
        <v>0</v>
      </c>
      <c r="O43" s="676">
        <f>industrie!N22</f>
        <v>0</v>
      </c>
      <c r="P43" s="676">
        <f>industrie!O22</f>
        <v>0</v>
      </c>
      <c r="Q43" s="751">
        <f>industrie!P22</f>
        <v>0</v>
      </c>
      <c r="R43" s="831">
        <f t="shared" ca="1" si="4"/>
        <v>2.9070428073955616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48.367836276323835</v>
      </c>
      <c r="D46" s="709">
        <f t="shared" ref="D46:Q46" ca="1" si="5">SUM(D39:D45)</f>
        <v>0</v>
      </c>
      <c r="E46" s="709">
        <f t="shared" ca="1" si="5"/>
        <v>58.307284244000002</v>
      </c>
      <c r="F46" s="709">
        <f t="shared" si="5"/>
        <v>3.0092556863127973</v>
      </c>
      <c r="G46" s="709">
        <f t="shared" ca="1" si="5"/>
        <v>106.85941767130339</v>
      </c>
      <c r="H46" s="709">
        <f t="shared" si="5"/>
        <v>0</v>
      </c>
      <c r="I46" s="709">
        <f t="shared" si="5"/>
        <v>0</v>
      </c>
      <c r="J46" s="709">
        <f t="shared" si="5"/>
        <v>0</v>
      </c>
      <c r="K46" s="709">
        <f t="shared" si="5"/>
        <v>2.5154416906998813</v>
      </c>
      <c r="L46" s="709">
        <f t="shared" si="5"/>
        <v>0</v>
      </c>
      <c r="M46" s="709">
        <f t="shared" ca="1" si="5"/>
        <v>0</v>
      </c>
      <c r="N46" s="709">
        <f t="shared" si="5"/>
        <v>0</v>
      </c>
      <c r="O46" s="709">
        <f t="shared" ca="1" si="5"/>
        <v>0</v>
      </c>
      <c r="P46" s="709">
        <f t="shared" si="5"/>
        <v>0</v>
      </c>
      <c r="Q46" s="709">
        <f t="shared" si="5"/>
        <v>0</v>
      </c>
      <c r="R46" s="709">
        <f ca="1">SUM(R39:R45)</f>
        <v>219.05923556863991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1.6454685612871965E-2</v>
      </c>
      <c r="D49" s="676">
        <f ca="1">transport!C58</f>
        <v>0</v>
      </c>
      <c r="E49" s="676">
        <f>transport!D58</f>
        <v>0</v>
      </c>
      <c r="F49" s="676">
        <f>transport!E58</f>
        <v>0</v>
      </c>
      <c r="G49" s="676">
        <f>transport!F58</f>
        <v>0</v>
      </c>
      <c r="H49" s="676">
        <f>transport!G58</f>
        <v>4.3442657950138752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4.360720480626747</v>
      </c>
    </row>
    <row r="50" spans="1:18">
      <c r="A50" s="807" t="s">
        <v>302</v>
      </c>
      <c r="B50" s="817"/>
      <c r="C50" s="986">
        <f ca="1">transport!B18</f>
        <v>2.8953107038483607E-2</v>
      </c>
      <c r="D50" s="986">
        <f>transport!C18</f>
        <v>0</v>
      </c>
      <c r="E50" s="986">
        <f>transport!D18</f>
        <v>3.6625080804308548E-2</v>
      </c>
      <c r="F50" s="986">
        <f>transport!E18</f>
        <v>2.6355498891774238</v>
      </c>
      <c r="G50" s="986">
        <f>transport!F18</f>
        <v>0</v>
      </c>
      <c r="H50" s="986">
        <f>transport!G18</f>
        <v>600.77910387764598</v>
      </c>
      <c r="I50" s="986">
        <f>transport!H18</f>
        <v>108.86256228001015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712.34279423467638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4.5407792651355569E-2</v>
      </c>
      <c r="D52" s="709">
        <f t="shared" ref="D52:Q52" ca="1" si="6">SUM(D48:D51)</f>
        <v>0</v>
      </c>
      <c r="E52" s="709">
        <f t="shared" si="6"/>
        <v>3.6625080804308548E-2</v>
      </c>
      <c r="F52" s="709">
        <f t="shared" si="6"/>
        <v>2.6355498891774238</v>
      </c>
      <c r="G52" s="709">
        <f t="shared" si="6"/>
        <v>0</v>
      </c>
      <c r="H52" s="709">
        <f t="shared" si="6"/>
        <v>605.12336967265981</v>
      </c>
      <c r="I52" s="709">
        <f t="shared" si="6"/>
        <v>108.86256228001015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716.70351471530307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8.651854708171637</v>
      </c>
      <c r="D54" s="986">
        <f ca="1">+landbouw!C12</f>
        <v>0</v>
      </c>
      <c r="E54" s="986">
        <f>+landbouw!D12</f>
        <v>9.5037606399999994</v>
      </c>
      <c r="F54" s="986">
        <f>+landbouw!E12</f>
        <v>9.17263414303712E-2</v>
      </c>
      <c r="G54" s="986">
        <f>+landbouw!F12</f>
        <v>37.373083081056564</v>
      </c>
      <c r="H54" s="986">
        <f>+landbouw!G12</f>
        <v>0</v>
      </c>
      <c r="I54" s="986">
        <f>+landbouw!H12</f>
        <v>0</v>
      </c>
      <c r="J54" s="986">
        <f>+landbouw!I12</f>
        <v>0</v>
      </c>
      <c r="K54" s="986">
        <f>+landbouw!J12</f>
        <v>1.8783497469552211</v>
      </c>
      <c r="L54" s="986">
        <f>+landbouw!K12</f>
        <v>0</v>
      </c>
      <c r="M54" s="986">
        <f>+landbouw!L12</f>
        <v>0</v>
      </c>
      <c r="N54" s="986">
        <f>+landbouw!M12</f>
        <v>0</v>
      </c>
      <c r="O54" s="986">
        <f>+landbouw!N12</f>
        <v>0</v>
      </c>
      <c r="P54" s="986">
        <f>+landbouw!O12</f>
        <v>0</v>
      </c>
      <c r="Q54" s="987">
        <f>+landbouw!P12</f>
        <v>0</v>
      </c>
      <c r="R54" s="708">
        <f ca="1">SUM(C54:Q54)</f>
        <v>57.498774517613796</v>
      </c>
    </row>
    <row r="55" spans="1:18" ht="15" thickBot="1">
      <c r="A55" s="807" t="s">
        <v>879</v>
      </c>
      <c r="B55" s="817"/>
      <c r="C55" s="986">
        <f ca="1">C25*'EF ele_warmte'!B12</f>
        <v>0</v>
      </c>
      <c r="D55" s="986"/>
      <c r="E55" s="986">
        <f>E25*EF_CO2_aardgas</f>
        <v>2.3060320000000001</v>
      </c>
      <c r="F55" s="986"/>
      <c r="G55" s="986"/>
      <c r="H55" s="986"/>
      <c r="I55" s="986"/>
      <c r="J55" s="986"/>
      <c r="K55" s="986"/>
      <c r="L55" s="986"/>
      <c r="M55" s="986"/>
      <c r="N55" s="986"/>
      <c r="O55" s="986"/>
      <c r="P55" s="986"/>
      <c r="Q55" s="987"/>
      <c r="R55" s="708">
        <f ca="1">SUM(C55:Q55)</f>
        <v>2.3060320000000001</v>
      </c>
    </row>
    <row r="56" spans="1:18" ht="15.75" thickBot="1">
      <c r="A56" s="805" t="s">
        <v>880</v>
      </c>
      <c r="B56" s="818"/>
      <c r="C56" s="709">
        <f ca="1">SUM(C54:C55)</f>
        <v>8.651854708171637</v>
      </c>
      <c r="D56" s="709">
        <f t="shared" ref="D56:Q56" ca="1" si="7">SUM(D54:D55)</f>
        <v>0</v>
      </c>
      <c r="E56" s="709">
        <f t="shared" si="7"/>
        <v>11.80979264</v>
      </c>
      <c r="F56" s="709">
        <f t="shared" si="7"/>
        <v>9.17263414303712E-2</v>
      </c>
      <c r="G56" s="709">
        <f t="shared" si="7"/>
        <v>37.373083081056564</v>
      </c>
      <c r="H56" s="709">
        <f t="shared" si="7"/>
        <v>0</v>
      </c>
      <c r="I56" s="709">
        <f t="shared" si="7"/>
        <v>0</v>
      </c>
      <c r="J56" s="709">
        <f t="shared" si="7"/>
        <v>0</v>
      </c>
      <c r="K56" s="709">
        <f t="shared" si="7"/>
        <v>1.8783497469552211</v>
      </c>
      <c r="L56" s="709">
        <f t="shared" si="7"/>
        <v>0</v>
      </c>
      <c r="M56" s="709">
        <f t="shared" si="7"/>
        <v>0</v>
      </c>
      <c r="N56" s="709">
        <f t="shared" si="7"/>
        <v>0</v>
      </c>
      <c r="O56" s="709">
        <f t="shared" si="7"/>
        <v>0</v>
      </c>
      <c r="P56" s="709">
        <f t="shared" si="7"/>
        <v>0</v>
      </c>
      <c r="Q56" s="710">
        <f t="shared" si="7"/>
        <v>0</v>
      </c>
      <c r="R56" s="711">
        <f ca="1">SUM(R54:R55)</f>
        <v>59.804806517613798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57.065098777146829</v>
      </c>
      <c r="D61" s="717">
        <f t="shared" ref="D61:Q61" ca="1" si="8">D46+D52+D56</f>
        <v>0</v>
      </c>
      <c r="E61" s="717">
        <f t="shared" ca="1" si="8"/>
        <v>70.153701964804313</v>
      </c>
      <c r="F61" s="717">
        <f t="shared" si="8"/>
        <v>5.7365319169205922</v>
      </c>
      <c r="G61" s="717">
        <f t="shared" ca="1" si="8"/>
        <v>144.23250075235995</v>
      </c>
      <c r="H61" s="717">
        <f t="shared" si="8"/>
        <v>605.12336967265981</v>
      </c>
      <c r="I61" s="717">
        <f t="shared" si="8"/>
        <v>108.86256228001015</v>
      </c>
      <c r="J61" s="717">
        <f t="shared" si="8"/>
        <v>0</v>
      </c>
      <c r="K61" s="717">
        <f t="shared" si="8"/>
        <v>4.3937914376551026</v>
      </c>
      <c r="L61" s="717">
        <f t="shared" si="8"/>
        <v>0</v>
      </c>
      <c r="M61" s="717">
        <f t="shared" ca="1" si="8"/>
        <v>0</v>
      </c>
      <c r="N61" s="717">
        <f t="shared" si="8"/>
        <v>0</v>
      </c>
      <c r="O61" s="717">
        <f t="shared" ca="1" si="8"/>
        <v>0</v>
      </c>
      <c r="P61" s="717">
        <f t="shared" si="8"/>
        <v>0</v>
      </c>
      <c r="Q61" s="717">
        <f t="shared" si="8"/>
        <v>0</v>
      </c>
      <c r="R61" s="717">
        <f ca="1">R46+R52+R56</f>
        <v>995.56755680155675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0.20170784762482541</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24.696544284818973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24.696544284818973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169.63854428481898</v>
      </c>
      <c r="C4" s="449">
        <f>huishoudens!C8</f>
        <v>0</v>
      </c>
      <c r="D4" s="449">
        <f>huishoudens!D8</f>
        <v>201.063918</v>
      </c>
      <c r="E4" s="449">
        <f>huishoudens!E8</f>
        <v>12.742971838971346</v>
      </c>
      <c r="F4" s="449">
        <f>huishoudens!F8</f>
        <v>388.49621475283118</v>
      </c>
      <c r="G4" s="449">
        <f>huishoudens!G8</f>
        <v>0</v>
      </c>
      <c r="H4" s="449">
        <f>huishoudens!H8</f>
        <v>0</v>
      </c>
      <c r="I4" s="449">
        <f>huishoudens!I8</f>
        <v>0</v>
      </c>
      <c r="J4" s="449">
        <f>huishoudens!J8</f>
        <v>7.0491284468025839</v>
      </c>
      <c r="K4" s="449">
        <f>huishoudens!K8</f>
        <v>0</v>
      </c>
      <c r="L4" s="449">
        <f>huishoudens!L8</f>
        <v>0</v>
      </c>
      <c r="M4" s="449">
        <f>huishoudens!M8</f>
        <v>0</v>
      </c>
      <c r="N4" s="449">
        <f>huishoudens!N8</f>
        <v>53.460154474728</v>
      </c>
      <c r="O4" s="449">
        <f>huishoudens!O8</f>
        <v>1.5633333333333335</v>
      </c>
      <c r="P4" s="450">
        <f>huishoudens!P8</f>
        <v>0</v>
      </c>
      <c r="Q4" s="451">
        <f>SUM(B4:P4)</f>
        <v>834.01426513148544</v>
      </c>
    </row>
    <row r="5" spans="1:17">
      <c r="A5" s="448" t="s">
        <v>155</v>
      </c>
      <c r="B5" s="449">
        <f ca="1">tertiair!B16</f>
        <v>47.735999999999997</v>
      </c>
      <c r="C5" s="449">
        <f ca="1">tertiair!C16</f>
        <v>0</v>
      </c>
      <c r="D5" s="449">
        <f ca="1">tertiair!D16</f>
        <v>87.586004000000003</v>
      </c>
      <c r="E5" s="449">
        <f>tertiair!E16</f>
        <v>0.41245530325807722</v>
      </c>
      <c r="F5" s="449">
        <f ca="1">tertiair!F16</f>
        <v>9.5084080833662377</v>
      </c>
      <c r="G5" s="449">
        <f>tertiair!G16</f>
        <v>0</v>
      </c>
      <c r="H5" s="449">
        <f>tertiair!H16</f>
        <v>0</v>
      </c>
      <c r="I5" s="449">
        <f>tertiair!I16</f>
        <v>0</v>
      </c>
      <c r="J5" s="449">
        <f>tertiair!J16</f>
        <v>0</v>
      </c>
      <c r="K5" s="449">
        <f>tertiair!K16</f>
        <v>0</v>
      </c>
      <c r="L5" s="449">
        <f ca="1">tertiair!L16</f>
        <v>0</v>
      </c>
      <c r="M5" s="449">
        <f>tertiair!M16</f>
        <v>0</v>
      </c>
      <c r="N5" s="449">
        <f ca="1">tertiair!N16</f>
        <v>3.1397349572558553</v>
      </c>
      <c r="O5" s="449">
        <f>tertiair!O16</f>
        <v>0</v>
      </c>
      <c r="P5" s="450">
        <f>tertiair!P16</f>
        <v>0</v>
      </c>
      <c r="Q5" s="448">
        <f t="shared" ref="Q5:Q14" ca="1" si="0">SUM(B5:P5)</f>
        <v>148.38260234388017</v>
      </c>
    </row>
    <row r="6" spans="1:17">
      <c r="A6" s="448" t="s">
        <v>193</v>
      </c>
      <c r="B6" s="449">
        <f>'openbare verlichting'!B8</f>
        <v>11.154</v>
      </c>
      <c r="C6" s="449"/>
      <c r="D6" s="449"/>
      <c r="E6" s="449"/>
      <c r="F6" s="449"/>
      <c r="G6" s="449"/>
      <c r="H6" s="449"/>
      <c r="I6" s="449"/>
      <c r="J6" s="449"/>
      <c r="K6" s="449"/>
      <c r="L6" s="449"/>
      <c r="M6" s="449"/>
      <c r="N6" s="449"/>
      <c r="O6" s="449"/>
      <c r="P6" s="450"/>
      <c r="Q6" s="448">
        <f t="shared" si="0"/>
        <v>11.154</v>
      </c>
    </row>
    <row r="7" spans="1:17">
      <c r="A7" s="448" t="s">
        <v>111</v>
      </c>
      <c r="B7" s="449">
        <f>landbouw!B8</f>
        <v>42.893000000000001</v>
      </c>
      <c r="C7" s="449">
        <f>landbouw!C8</f>
        <v>0</v>
      </c>
      <c r="D7" s="449">
        <f>landbouw!D8</f>
        <v>47.048319999999997</v>
      </c>
      <c r="E7" s="449">
        <f>landbouw!E8</f>
        <v>0.40408079925273654</v>
      </c>
      <c r="F7" s="449">
        <f>landbouw!F8</f>
        <v>139.97409393654144</v>
      </c>
      <c r="G7" s="449">
        <f>landbouw!G8</f>
        <v>0</v>
      </c>
      <c r="H7" s="449">
        <f>landbouw!H8</f>
        <v>0</v>
      </c>
      <c r="I7" s="449">
        <f>landbouw!I8</f>
        <v>0</v>
      </c>
      <c r="J7" s="449">
        <f>landbouw!J8</f>
        <v>5.3060727315119243</v>
      </c>
      <c r="K7" s="449">
        <f>landbouw!K8</f>
        <v>0</v>
      </c>
      <c r="L7" s="449">
        <f>landbouw!L8</f>
        <v>0</v>
      </c>
      <c r="M7" s="449">
        <f>landbouw!M8</f>
        <v>0</v>
      </c>
      <c r="N7" s="449">
        <f>landbouw!N8</f>
        <v>0</v>
      </c>
      <c r="O7" s="449">
        <f>landbouw!O8</f>
        <v>0</v>
      </c>
      <c r="P7" s="450">
        <f>landbouw!P8</f>
        <v>0</v>
      </c>
      <c r="Q7" s="448">
        <f t="shared" si="0"/>
        <v>235.6255674673061</v>
      </c>
    </row>
    <row r="8" spans="1:17">
      <c r="A8" s="448" t="s">
        <v>671</v>
      </c>
      <c r="B8" s="449">
        <f>industrie!B18</f>
        <v>11.263</v>
      </c>
      <c r="C8" s="449">
        <f>industrie!C18</f>
        <v>0</v>
      </c>
      <c r="D8" s="449">
        <f>industrie!D18</f>
        <v>0</v>
      </c>
      <c r="E8" s="449">
        <f>industrie!E18</f>
        <v>0.1012058371221065</v>
      </c>
      <c r="F8" s="449">
        <f>industrie!F18</f>
        <v>2.2179152585717903</v>
      </c>
      <c r="G8" s="449">
        <f>industrie!G18</f>
        <v>0</v>
      </c>
      <c r="H8" s="449">
        <f>industrie!H18</f>
        <v>0</v>
      </c>
      <c r="I8" s="449">
        <f>industrie!I18</f>
        <v>0</v>
      </c>
      <c r="J8" s="449">
        <f>industrie!J18</f>
        <v>5.6639041050189638E-2</v>
      </c>
      <c r="K8" s="449">
        <f>industrie!K18</f>
        <v>0</v>
      </c>
      <c r="L8" s="449">
        <f>industrie!L18</f>
        <v>0</v>
      </c>
      <c r="M8" s="449">
        <f>industrie!M18</f>
        <v>0</v>
      </c>
      <c r="N8" s="449">
        <f>industrie!N18</f>
        <v>0.3457444280573147</v>
      </c>
      <c r="O8" s="449">
        <f>industrie!O18</f>
        <v>0</v>
      </c>
      <c r="P8" s="450">
        <f>industrie!P18</f>
        <v>0</v>
      </c>
      <c r="Q8" s="448">
        <f t="shared" si="0"/>
        <v>13.9845045648014</v>
      </c>
    </row>
    <row r="9" spans="1:17" s="454" customFormat="1">
      <c r="A9" s="452" t="s">
        <v>568</v>
      </c>
      <c r="B9" s="453">
        <f>transport!B14</f>
        <v>0.14353981453580378</v>
      </c>
      <c r="C9" s="453">
        <f>transport!C14</f>
        <v>0</v>
      </c>
      <c r="D9" s="453">
        <f>transport!D14</f>
        <v>0.18131228120944823</v>
      </c>
      <c r="E9" s="453">
        <f>transport!E14</f>
        <v>11.610351934702306</v>
      </c>
      <c r="F9" s="453">
        <f>transport!F14</f>
        <v>0</v>
      </c>
      <c r="G9" s="453">
        <f>transport!G14</f>
        <v>2250.1090032870634</v>
      </c>
      <c r="H9" s="453">
        <f>transport!H14</f>
        <v>437.19904530124558</v>
      </c>
      <c r="I9" s="453">
        <f>transport!I14</f>
        <v>0</v>
      </c>
      <c r="J9" s="453">
        <f>transport!J14</f>
        <v>0</v>
      </c>
      <c r="K9" s="453">
        <f>transport!K14</f>
        <v>0</v>
      </c>
      <c r="L9" s="453">
        <f>transport!L14</f>
        <v>0</v>
      </c>
      <c r="M9" s="453">
        <f>transport!M14</f>
        <v>120.14622257961543</v>
      </c>
      <c r="N9" s="453">
        <f>transport!N14</f>
        <v>0</v>
      </c>
      <c r="O9" s="453">
        <f>transport!O14</f>
        <v>0</v>
      </c>
      <c r="P9" s="453">
        <f>transport!P14</f>
        <v>0</v>
      </c>
      <c r="Q9" s="452">
        <f>SUM(B9:P9)</f>
        <v>2819.3894751983717</v>
      </c>
    </row>
    <row r="10" spans="1:17">
      <c r="A10" s="448" t="s">
        <v>558</v>
      </c>
      <c r="B10" s="449">
        <f>transport!B54</f>
        <v>8.1576824137638504E-2</v>
      </c>
      <c r="C10" s="449">
        <f>transport!C54</f>
        <v>0</v>
      </c>
      <c r="D10" s="449">
        <f>transport!D54</f>
        <v>0</v>
      </c>
      <c r="E10" s="449">
        <f>transport!E54</f>
        <v>0</v>
      </c>
      <c r="F10" s="449">
        <f>transport!F54</f>
        <v>0</v>
      </c>
      <c r="G10" s="449">
        <f>transport!G54</f>
        <v>16.270658408291666</v>
      </c>
      <c r="H10" s="449">
        <f>transport!H54</f>
        <v>0</v>
      </c>
      <c r="I10" s="449">
        <f>transport!I54</f>
        <v>0</v>
      </c>
      <c r="J10" s="449">
        <f>transport!J54</f>
        <v>0</v>
      </c>
      <c r="K10" s="449">
        <f>transport!K54</f>
        <v>0</v>
      </c>
      <c r="L10" s="449">
        <f>transport!L54</f>
        <v>0</v>
      </c>
      <c r="M10" s="449">
        <f>transport!M54</f>
        <v>0.71914577242253508</v>
      </c>
      <c r="N10" s="449">
        <f>transport!N54</f>
        <v>0</v>
      </c>
      <c r="O10" s="449">
        <f>transport!O54</f>
        <v>0</v>
      </c>
      <c r="P10" s="450">
        <f>transport!P54</f>
        <v>0</v>
      </c>
      <c r="Q10" s="448">
        <f t="shared" si="0"/>
        <v>17.07138100485184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0</v>
      </c>
      <c r="C14" s="456"/>
      <c r="D14" s="456">
        <f>'SEAP template'!E25</f>
        <v>11.416</v>
      </c>
      <c r="E14" s="456"/>
      <c r="F14" s="456"/>
      <c r="G14" s="456"/>
      <c r="H14" s="456"/>
      <c r="I14" s="456"/>
      <c r="J14" s="456"/>
      <c r="K14" s="456"/>
      <c r="L14" s="456"/>
      <c r="M14" s="456"/>
      <c r="N14" s="456"/>
      <c r="O14" s="456"/>
      <c r="P14" s="457"/>
      <c r="Q14" s="448">
        <f t="shared" si="0"/>
        <v>11.416</v>
      </c>
    </row>
    <row r="15" spans="1:17" s="461" customFormat="1">
      <c r="A15" s="458" t="s">
        <v>562</v>
      </c>
      <c r="B15" s="459">
        <f ca="1">SUM(B4:B14)</f>
        <v>282.90966092349242</v>
      </c>
      <c r="C15" s="459">
        <f t="shared" ref="C15:Q15" ca="1" si="1">SUM(C4:C14)</f>
        <v>0</v>
      </c>
      <c r="D15" s="459">
        <f t="shared" ca="1" si="1"/>
        <v>347.29555428120943</v>
      </c>
      <c r="E15" s="459">
        <f t="shared" si="1"/>
        <v>25.271065713306577</v>
      </c>
      <c r="F15" s="459">
        <f t="shared" ca="1" si="1"/>
        <v>540.19663203131063</v>
      </c>
      <c r="G15" s="459">
        <f t="shared" si="1"/>
        <v>2266.379661695355</v>
      </c>
      <c r="H15" s="459">
        <f t="shared" si="1"/>
        <v>437.19904530124558</v>
      </c>
      <c r="I15" s="459">
        <f t="shared" si="1"/>
        <v>0</v>
      </c>
      <c r="J15" s="459">
        <f t="shared" si="1"/>
        <v>12.411840219364699</v>
      </c>
      <c r="K15" s="459">
        <f t="shared" si="1"/>
        <v>0</v>
      </c>
      <c r="L15" s="459">
        <f t="shared" ca="1" si="1"/>
        <v>0</v>
      </c>
      <c r="M15" s="459">
        <f t="shared" si="1"/>
        <v>120.86536835203796</v>
      </c>
      <c r="N15" s="459">
        <f t="shared" ca="1" si="1"/>
        <v>56.94563386004117</v>
      </c>
      <c r="O15" s="459">
        <f t="shared" si="1"/>
        <v>1.5633333333333335</v>
      </c>
      <c r="P15" s="459">
        <f t="shared" si="1"/>
        <v>0</v>
      </c>
      <c r="Q15" s="459">
        <f t="shared" ca="1" si="1"/>
        <v>4091.0377957106966</v>
      </c>
    </row>
    <row r="17" spans="1:17">
      <c r="A17" s="462" t="s">
        <v>563</v>
      </c>
      <c r="B17" s="766">
        <f ca="1">huishoudens!B10</f>
        <v>0.20170784762482541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34.21742564189946</v>
      </c>
      <c r="C22" s="449">
        <f t="shared" ref="C22:C32" ca="1" si="3">C4*$C$17</f>
        <v>0</v>
      </c>
      <c r="D22" s="449">
        <f t="shared" ref="D22:D32" si="4">D4*$D$17</f>
        <v>40.614911436</v>
      </c>
      <c r="E22" s="449">
        <f t="shared" ref="E22:E32" si="5">E4*$E$17</f>
        <v>2.8926546074464956</v>
      </c>
      <c r="F22" s="449">
        <f t="shared" ref="F22:F32" si="6">F4*$F$17</f>
        <v>103.72848933900593</v>
      </c>
      <c r="G22" s="449">
        <f t="shared" ref="G22:G32" si="7">G4*$G$17</f>
        <v>0</v>
      </c>
      <c r="H22" s="449">
        <f t="shared" ref="H22:H32" si="8">H4*$H$17</f>
        <v>0</v>
      </c>
      <c r="I22" s="449">
        <f t="shared" ref="I22:I32" si="9">I4*$I$17</f>
        <v>0</v>
      </c>
      <c r="J22" s="449">
        <f t="shared" ref="J22:J32" si="10">J4*$J$17</f>
        <v>2.4953914701681144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183.94887249452</v>
      </c>
    </row>
    <row r="23" spans="1:17">
      <c r="A23" s="448" t="s">
        <v>155</v>
      </c>
      <c r="B23" s="449">
        <f t="shared" ca="1" si="2"/>
        <v>9.6287258142186651</v>
      </c>
      <c r="C23" s="449">
        <f t="shared" ca="1" si="3"/>
        <v>0</v>
      </c>
      <c r="D23" s="449">
        <f t="shared" ca="1" si="4"/>
        <v>17.692372808000002</v>
      </c>
      <c r="E23" s="449">
        <f t="shared" si="5"/>
        <v>9.3627353839583538E-2</v>
      </c>
      <c r="F23" s="449">
        <f t="shared" ca="1" si="6"/>
        <v>2.5387449582587855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29.953470934317036</v>
      </c>
    </row>
    <row r="24" spans="1:17">
      <c r="A24" s="448" t="s">
        <v>193</v>
      </c>
      <c r="B24" s="449">
        <f t="shared" ca="1" si="2"/>
        <v>2.2498493324073028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2.2498493324073028</v>
      </c>
    </row>
    <row r="25" spans="1:17">
      <c r="A25" s="448" t="s">
        <v>111</v>
      </c>
      <c r="B25" s="449">
        <f t="shared" ca="1" si="2"/>
        <v>8.651854708171637</v>
      </c>
      <c r="C25" s="449">
        <f t="shared" ca="1" si="3"/>
        <v>0</v>
      </c>
      <c r="D25" s="449">
        <f t="shared" si="4"/>
        <v>9.5037606399999994</v>
      </c>
      <c r="E25" s="449">
        <f t="shared" si="5"/>
        <v>9.17263414303712E-2</v>
      </c>
      <c r="F25" s="449">
        <f t="shared" si="6"/>
        <v>37.373083081056564</v>
      </c>
      <c r="G25" s="449">
        <f t="shared" si="7"/>
        <v>0</v>
      </c>
      <c r="H25" s="449">
        <f t="shared" si="8"/>
        <v>0</v>
      </c>
      <c r="I25" s="449">
        <f t="shared" si="9"/>
        <v>0</v>
      </c>
      <c r="J25" s="449">
        <f t="shared" si="10"/>
        <v>1.8783497469552211</v>
      </c>
      <c r="K25" s="449">
        <f t="shared" si="11"/>
        <v>0</v>
      </c>
      <c r="L25" s="449">
        <f t="shared" si="12"/>
        <v>0</v>
      </c>
      <c r="M25" s="449">
        <f t="shared" si="13"/>
        <v>0</v>
      </c>
      <c r="N25" s="449">
        <f t="shared" si="14"/>
        <v>0</v>
      </c>
      <c r="O25" s="449">
        <f t="shared" si="15"/>
        <v>0</v>
      </c>
      <c r="P25" s="450">
        <f t="shared" si="16"/>
        <v>0</v>
      </c>
      <c r="Q25" s="448">
        <f t="shared" ca="1" si="17"/>
        <v>57.498774517613796</v>
      </c>
    </row>
    <row r="26" spans="1:17">
      <c r="A26" s="448" t="s">
        <v>671</v>
      </c>
      <c r="B26" s="449">
        <f t="shared" ca="1" si="2"/>
        <v>2.2718354877984086</v>
      </c>
      <c r="C26" s="449">
        <f t="shared" ca="1" si="3"/>
        <v>0</v>
      </c>
      <c r="D26" s="449">
        <f t="shared" si="4"/>
        <v>0</v>
      </c>
      <c r="E26" s="449">
        <f t="shared" si="5"/>
        <v>2.2973725026718177E-2</v>
      </c>
      <c r="F26" s="449">
        <f t="shared" si="6"/>
        <v>0.59218337403866805</v>
      </c>
      <c r="G26" s="449">
        <f t="shared" si="7"/>
        <v>0</v>
      </c>
      <c r="H26" s="449">
        <f t="shared" si="8"/>
        <v>0</v>
      </c>
      <c r="I26" s="449">
        <f t="shared" si="9"/>
        <v>0</v>
      </c>
      <c r="J26" s="449">
        <f t="shared" si="10"/>
        <v>2.0050220531767131E-2</v>
      </c>
      <c r="K26" s="449">
        <f t="shared" si="11"/>
        <v>0</v>
      </c>
      <c r="L26" s="449">
        <f t="shared" si="12"/>
        <v>0</v>
      </c>
      <c r="M26" s="449">
        <f t="shared" si="13"/>
        <v>0</v>
      </c>
      <c r="N26" s="449">
        <f t="shared" si="14"/>
        <v>0</v>
      </c>
      <c r="O26" s="449">
        <f t="shared" si="15"/>
        <v>0</v>
      </c>
      <c r="P26" s="450">
        <f t="shared" si="16"/>
        <v>0</v>
      </c>
      <c r="Q26" s="448">
        <f t="shared" ca="1" si="17"/>
        <v>2.9070428073955616</v>
      </c>
    </row>
    <row r="27" spans="1:17" s="454" customFormat="1">
      <c r="A27" s="452" t="s">
        <v>568</v>
      </c>
      <c r="B27" s="760">
        <f t="shared" ca="1" si="2"/>
        <v>2.8953107038483607E-2</v>
      </c>
      <c r="C27" s="453">
        <f t="shared" ca="1" si="3"/>
        <v>0</v>
      </c>
      <c r="D27" s="453">
        <f t="shared" si="4"/>
        <v>3.6625080804308548E-2</v>
      </c>
      <c r="E27" s="453">
        <f t="shared" si="5"/>
        <v>2.6355498891774238</v>
      </c>
      <c r="F27" s="453">
        <f t="shared" si="6"/>
        <v>0</v>
      </c>
      <c r="G27" s="453">
        <f t="shared" si="7"/>
        <v>600.77910387764598</v>
      </c>
      <c r="H27" s="453">
        <f t="shared" si="8"/>
        <v>108.86256228001015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712.34279423467638</v>
      </c>
    </row>
    <row r="28" spans="1:17">
      <c r="A28" s="448" t="s">
        <v>558</v>
      </c>
      <c r="B28" s="449">
        <f t="shared" ca="1" si="2"/>
        <v>1.6454685612871965E-2</v>
      </c>
      <c r="C28" s="449">
        <f t="shared" ca="1" si="3"/>
        <v>0</v>
      </c>
      <c r="D28" s="449">
        <f t="shared" si="4"/>
        <v>0</v>
      </c>
      <c r="E28" s="449">
        <f t="shared" si="5"/>
        <v>0</v>
      </c>
      <c r="F28" s="449">
        <f t="shared" si="6"/>
        <v>0</v>
      </c>
      <c r="G28" s="449">
        <f t="shared" si="7"/>
        <v>4.3442657950138752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4.360720480626747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0</v>
      </c>
      <c r="C32" s="449">
        <f t="shared" ca="1" si="3"/>
        <v>0</v>
      </c>
      <c r="D32" s="449">
        <f t="shared" si="4"/>
        <v>2.3060320000000001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2.3060320000000001</v>
      </c>
    </row>
    <row r="33" spans="1:17" s="461" customFormat="1">
      <c r="A33" s="458" t="s">
        <v>562</v>
      </c>
      <c r="B33" s="459">
        <f ca="1">SUM(B22:B32)</f>
        <v>57.065098777146815</v>
      </c>
      <c r="C33" s="459">
        <f t="shared" ref="C33:Q33" ca="1" si="18">SUM(C22:C32)</f>
        <v>0</v>
      </c>
      <c r="D33" s="459">
        <f t="shared" ca="1" si="18"/>
        <v>70.153701964804313</v>
      </c>
      <c r="E33" s="459">
        <f t="shared" si="18"/>
        <v>5.7365319169205922</v>
      </c>
      <c r="F33" s="459">
        <f t="shared" ca="1" si="18"/>
        <v>144.23250075235995</v>
      </c>
      <c r="G33" s="459">
        <f t="shared" si="18"/>
        <v>605.12336967265981</v>
      </c>
      <c r="H33" s="459">
        <f t="shared" si="18"/>
        <v>108.86256228001015</v>
      </c>
      <c r="I33" s="459">
        <f t="shared" si="18"/>
        <v>0</v>
      </c>
      <c r="J33" s="459">
        <f t="shared" si="18"/>
        <v>4.3937914376551026</v>
      </c>
      <c r="K33" s="459">
        <f t="shared" si="18"/>
        <v>0</v>
      </c>
      <c r="L33" s="459">
        <f t="shared" ca="1" si="18"/>
        <v>0</v>
      </c>
      <c r="M33" s="459">
        <f t="shared" si="18"/>
        <v>0</v>
      </c>
      <c r="N33" s="459">
        <f t="shared" ca="1" si="18"/>
        <v>0</v>
      </c>
      <c r="O33" s="459">
        <f t="shared" si="18"/>
        <v>0</v>
      </c>
      <c r="P33" s="459">
        <f t="shared" si="18"/>
        <v>0</v>
      </c>
      <c r="Q33" s="459">
        <f t="shared" ca="1" si="18"/>
        <v>995.56755680155675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24.696544284818973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24.696544284818973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0.20170784762482541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0.20170784762482541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0.20170784762482541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0.20170784762482541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109</v>
      </c>
      <c r="C14" s="327"/>
      <c r="D14" s="327"/>
      <c r="E14" s="327"/>
      <c r="F14" s="327"/>
    </row>
    <row r="15" spans="1:6">
      <c r="A15" s="1295" t="s">
        <v>183</v>
      </c>
      <c r="B15" s="1296">
        <v>2</v>
      </c>
      <c r="C15" s="327"/>
      <c r="D15" s="327"/>
      <c r="E15" s="327"/>
      <c r="F15" s="327"/>
    </row>
    <row r="16" spans="1:6">
      <c r="A16" s="1295" t="s">
        <v>6</v>
      </c>
      <c r="B16" s="1296">
        <v>0</v>
      </c>
      <c r="C16" s="327"/>
      <c r="D16" s="327"/>
      <c r="E16" s="327"/>
      <c r="F16" s="327"/>
    </row>
    <row r="17" spans="1:6">
      <c r="A17" s="1295" t="s">
        <v>7</v>
      </c>
      <c r="B17" s="1296">
        <v>39</v>
      </c>
      <c r="C17" s="327"/>
      <c r="D17" s="327"/>
      <c r="E17" s="327"/>
      <c r="F17" s="327"/>
    </row>
    <row r="18" spans="1:6">
      <c r="A18" s="1295" t="s">
        <v>8</v>
      </c>
      <c r="B18" s="1296">
        <v>39</v>
      </c>
      <c r="C18" s="327"/>
      <c r="D18" s="327"/>
      <c r="E18" s="327"/>
      <c r="F18" s="327"/>
    </row>
    <row r="19" spans="1:6">
      <c r="A19" s="1295" t="s">
        <v>9</v>
      </c>
      <c r="B19" s="1296">
        <v>40</v>
      </c>
      <c r="C19" s="327"/>
      <c r="D19" s="327"/>
      <c r="E19" s="327"/>
      <c r="F19" s="327"/>
    </row>
    <row r="20" spans="1:6">
      <c r="A20" s="1295" t="s">
        <v>10</v>
      </c>
      <c r="B20" s="1296">
        <v>17</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2</v>
      </c>
      <c r="C27" s="327"/>
      <c r="D27" s="327"/>
      <c r="E27" s="327"/>
      <c r="F27" s="327"/>
    </row>
    <row r="28" spans="1:6" s="44" customFormat="1">
      <c r="A28" s="1297" t="s">
        <v>18</v>
      </c>
      <c r="B28" s="1298">
        <v>0</v>
      </c>
      <c r="C28" s="333"/>
      <c r="D28" s="333"/>
      <c r="E28" s="333"/>
      <c r="F28" s="333"/>
    </row>
    <row r="29" spans="1:6">
      <c r="A29" s="1297" t="s">
        <v>961</v>
      </c>
      <c r="B29" s="1298">
        <v>5</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10</v>
      </c>
      <c r="D39" s="1296">
        <v>222909</v>
      </c>
      <c r="E39" s="1296">
        <v>28</v>
      </c>
      <c r="F39" s="1296">
        <v>144942</v>
      </c>
    </row>
    <row r="40" spans="1:6">
      <c r="A40" s="1295" t="s">
        <v>29</v>
      </c>
      <c r="B40" s="1295" t="s">
        <v>28</v>
      </c>
      <c r="C40" s="1296">
        <v>0</v>
      </c>
      <c r="D40" s="1296">
        <v>0</v>
      </c>
      <c r="E40" s="1296">
        <v>0</v>
      </c>
      <c r="F40" s="1296">
        <v>0</v>
      </c>
    </row>
    <row r="41" spans="1:6">
      <c r="A41" s="1295" t="s">
        <v>31</v>
      </c>
      <c r="B41" s="1295" t="s">
        <v>32</v>
      </c>
      <c r="C41" s="1296">
        <v>0</v>
      </c>
      <c r="D41" s="1296">
        <v>0</v>
      </c>
      <c r="E41" s="1296">
        <v>0</v>
      </c>
      <c r="F41" s="1296">
        <v>0</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0</v>
      </c>
      <c r="D48" s="1296">
        <v>0</v>
      </c>
      <c r="E48" s="1296">
        <v>1</v>
      </c>
      <c r="F48" s="1296">
        <v>11263</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5</v>
      </c>
      <c r="F51" s="1296">
        <v>42893</v>
      </c>
    </row>
    <row r="52" spans="1:6">
      <c r="A52" s="1295" t="s">
        <v>41</v>
      </c>
      <c r="B52" s="1295" t="s">
        <v>28</v>
      </c>
      <c r="C52" s="1296">
        <v>2</v>
      </c>
      <c r="D52" s="1296">
        <v>52160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v>
      </c>
      <c r="F54" s="1296">
        <v>11154</v>
      </c>
    </row>
    <row r="55" spans="1:6">
      <c r="A55" s="1295" t="s">
        <v>45</v>
      </c>
      <c r="B55" s="1295" t="s">
        <v>28</v>
      </c>
      <c r="C55" s="1296">
        <v>0</v>
      </c>
      <c r="D55" s="1296">
        <v>0</v>
      </c>
      <c r="E55" s="1296">
        <v>0</v>
      </c>
      <c r="F55" s="1296">
        <v>0</v>
      </c>
    </row>
    <row r="56" spans="1:6">
      <c r="A56" s="1295" t="s">
        <v>47</v>
      </c>
      <c r="B56" s="1295" t="s">
        <v>28</v>
      </c>
      <c r="C56" s="1296">
        <v>1</v>
      </c>
      <c r="D56" s="1296">
        <v>11416</v>
      </c>
      <c r="E56" s="1296">
        <v>1</v>
      </c>
      <c r="F56" s="1296">
        <v>0</v>
      </c>
    </row>
    <row r="57" spans="1:6">
      <c r="A57" s="1295" t="s">
        <v>48</v>
      </c>
      <c r="B57" s="1295" t="s">
        <v>49</v>
      </c>
      <c r="C57" s="1296">
        <v>0</v>
      </c>
      <c r="D57" s="1296">
        <v>0</v>
      </c>
      <c r="E57" s="1296">
        <v>0</v>
      </c>
      <c r="F57" s="1296">
        <v>0</v>
      </c>
    </row>
    <row r="58" spans="1:6">
      <c r="A58" s="1295" t="s">
        <v>48</v>
      </c>
      <c r="B58" s="1295" t="s">
        <v>50</v>
      </c>
      <c r="C58" s="1296">
        <v>0</v>
      </c>
      <c r="D58" s="1296">
        <v>0</v>
      </c>
      <c r="E58" s="1296">
        <v>0</v>
      </c>
      <c r="F58" s="1296">
        <v>0</v>
      </c>
    </row>
    <row r="59" spans="1:6">
      <c r="A59" s="1295" t="s">
        <v>48</v>
      </c>
      <c r="B59" s="1295" t="s">
        <v>51</v>
      </c>
      <c r="C59" s="1296">
        <v>0</v>
      </c>
      <c r="D59" s="1296">
        <v>0</v>
      </c>
      <c r="E59" s="1296">
        <v>0</v>
      </c>
      <c r="F59" s="1296">
        <v>0</v>
      </c>
    </row>
    <row r="60" spans="1:6">
      <c r="A60" s="1295" t="s">
        <v>48</v>
      </c>
      <c r="B60" s="1295" t="s">
        <v>52</v>
      </c>
      <c r="C60" s="1296">
        <v>0</v>
      </c>
      <c r="D60" s="1296">
        <v>0</v>
      </c>
      <c r="E60" s="1296">
        <v>0</v>
      </c>
      <c r="F60" s="1296">
        <v>0</v>
      </c>
    </row>
    <row r="61" spans="1:6">
      <c r="A61" s="1295" t="s">
        <v>48</v>
      </c>
      <c r="B61" s="1295" t="s">
        <v>53</v>
      </c>
      <c r="C61" s="1296">
        <v>0</v>
      </c>
      <c r="D61" s="1296">
        <v>0</v>
      </c>
      <c r="E61" s="1296">
        <v>0</v>
      </c>
      <c r="F61" s="1296">
        <v>0</v>
      </c>
    </row>
    <row r="62" spans="1:6">
      <c r="A62" s="1295" t="s">
        <v>48</v>
      </c>
      <c r="B62" s="1295" t="s">
        <v>54</v>
      </c>
      <c r="C62" s="1296">
        <v>0</v>
      </c>
      <c r="D62" s="1296">
        <v>0</v>
      </c>
      <c r="E62" s="1296">
        <v>0</v>
      </c>
      <c r="F62" s="1296">
        <v>0</v>
      </c>
    </row>
    <row r="63" spans="1:6">
      <c r="A63" s="1295" t="s">
        <v>48</v>
      </c>
      <c r="B63" s="1295" t="s">
        <v>28</v>
      </c>
      <c r="C63" s="1296">
        <v>4</v>
      </c>
      <c r="D63" s="1296">
        <v>97102</v>
      </c>
      <c r="E63" s="1296">
        <v>5</v>
      </c>
      <c r="F63" s="1296">
        <v>47736</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3005161</v>
      </c>
      <c r="E73" s="447"/>
      <c r="F73" s="327"/>
    </row>
    <row r="74" spans="1:6">
      <c r="A74" s="1295" t="s">
        <v>63</v>
      </c>
      <c r="B74" s="1295" t="s">
        <v>755</v>
      </c>
      <c r="C74" s="1309" t="s">
        <v>749</v>
      </c>
      <c r="D74" s="1310">
        <v>165768.84370997138</v>
      </c>
      <c r="E74" s="447"/>
      <c r="F74" s="327"/>
    </row>
    <row r="75" spans="1:6">
      <c r="A75" s="1295" t="s">
        <v>64</v>
      </c>
      <c r="B75" s="1295" t="s">
        <v>754</v>
      </c>
      <c r="C75" s="1309" t="s">
        <v>750</v>
      </c>
      <c r="D75" s="1310">
        <v>578469</v>
      </c>
      <c r="E75" s="447"/>
      <c r="F75" s="327"/>
    </row>
    <row r="76" spans="1:6">
      <c r="A76" s="1295" t="s">
        <v>64</v>
      </c>
      <c r="B76" s="1295" t="s">
        <v>755</v>
      </c>
      <c r="C76" s="1309" t="s">
        <v>751</v>
      </c>
      <c r="D76" s="1310">
        <v>5213.8437099713774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4494.3125800572461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24.696544284818973</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v>
      </c>
      <c r="C97" s="327"/>
      <c r="D97" s="327"/>
      <c r="E97" s="327"/>
      <c r="F97" s="327"/>
    </row>
    <row r="98" spans="1:6">
      <c r="A98" s="1295" t="s">
        <v>71</v>
      </c>
      <c r="B98" s="1296">
        <v>1</v>
      </c>
      <c r="C98" s="327"/>
      <c r="D98" s="327"/>
      <c r="E98" s="327"/>
      <c r="F98" s="327"/>
    </row>
    <row r="99" spans="1:6">
      <c r="A99" s="1295" t="s">
        <v>72</v>
      </c>
      <c r="B99" s="1296">
        <v>0</v>
      </c>
      <c r="C99" s="327"/>
      <c r="D99" s="327"/>
      <c r="E99" s="327"/>
      <c r="F99" s="327"/>
    </row>
    <row r="100" spans="1:6">
      <c r="A100" s="1295" t="s">
        <v>73</v>
      </c>
      <c r="B100" s="1296">
        <v>3</v>
      </c>
      <c r="C100" s="327"/>
      <c r="D100" s="327"/>
      <c r="E100" s="327"/>
      <c r="F100" s="327"/>
    </row>
    <row r="101" spans="1:6">
      <c r="A101" s="1295" t="s">
        <v>74</v>
      </c>
      <c r="B101" s="1296">
        <v>0</v>
      </c>
      <c r="C101" s="327"/>
      <c r="D101" s="327"/>
      <c r="E101" s="327"/>
      <c r="F101" s="327"/>
    </row>
    <row r="102" spans="1:6">
      <c r="A102" s="1295" t="s">
        <v>75</v>
      </c>
      <c r="B102" s="1296">
        <v>1</v>
      </c>
      <c r="C102" s="327"/>
      <c r="D102" s="327"/>
      <c r="E102" s="327"/>
      <c r="F102" s="327"/>
    </row>
    <row r="103" spans="1:6">
      <c r="A103" s="1295" t="s">
        <v>76</v>
      </c>
      <c r="B103" s="1296">
        <v>3</v>
      </c>
      <c r="C103" s="327"/>
      <c r="D103" s="327"/>
      <c r="E103" s="327"/>
      <c r="F103" s="327"/>
    </row>
    <row r="104" spans="1:6">
      <c r="A104" s="1295" t="s">
        <v>77</v>
      </c>
      <c r="B104" s="1296">
        <v>22</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282.90966092349242</v>
      </c>
      <c r="C3" s="44" t="s">
        <v>169</v>
      </c>
      <c r="D3" s="44"/>
      <c r="E3" s="157"/>
      <c r="F3" s="44"/>
      <c r="G3" s="44"/>
      <c r="H3" s="44"/>
      <c r="I3" s="44"/>
      <c r="J3" s="44"/>
      <c r="K3" s="97"/>
    </row>
    <row r="4" spans="1:11">
      <c r="A4" s="354" t="s">
        <v>170</v>
      </c>
      <c r="B4" s="50">
        <f>IF(ISERROR('SEAP template'!B78+'SEAP template'!C78),0,'SEAP template'!B78+'SEAP template'!C78)</f>
        <v>24.696544284818973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0.20170784762482541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11.154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11.154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0.20170784762482541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2.2498493324073028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144.94200000000001</v>
      </c>
      <c r="C5" s="18">
        <f>IF(ISERROR('Eigen informatie GS &amp; warmtenet'!B57),0,'Eigen informatie GS &amp; warmtenet'!B57)</f>
        <v>0</v>
      </c>
      <c r="D5" s="31">
        <f>(SUM(HH_hh_gas_kWh,HH_rest_gas_kWh)/1000)*0.902</f>
        <v>201.063918</v>
      </c>
      <c r="E5" s="18">
        <f>B32*B41</f>
        <v>12.742971838971346</v>
      </c>
      <c r="F5" s="18">
        <f>B36*B45</f>
        <v>388.49621475283118</v>
      </c>
      <c r="G5" s="19"/>
      <c r="H5" s="18"/>
      <c r="I5" s="18"/>
      <c r="J5" s="18">
        <f>B35*B44+C35*C44</f>
        <v>7.0491284468025839</v>
      </c>
      <c r="K5" s="18"/>
      <c r="L5" s="18"/>
      <c r="M5" s="18"/>
      <c r="N5" s="18">
        <f>B34*B43+C34*C43</f>
        <v>53.460154474728</v>
      </c>
      <c r="O5" s="18">
        <f>B52*B53*B54</f>
        <v>1.5633333333333335</v>
      </c>
      <c r="P5" s="18">
        <f>B60*B61*B62/1000-B60*B61*B62/1000/B63</f>
        <v>0</v>
      </c>
    </row>
    <row r="6" spans="1:16">
      <c r="A6" s="17" t="s">
        <v>628</v>
      </c>
      <c r="B6" s="768">
        <f>kWh_PV_kleiner_dan_10kW</f>
        <v>24.696544284818973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169.63854428481898</v>
      </c>
      <c r="C8" s="22">
        <f>C5</f>
        <v>0</v>
      </c>
      <c r="D8" s="22">
        <f>D5</f>
        <v>201.063918</v>
      </c>
      <c r="E8" s="22">
        <f>E5</f>
        <v>12.742971838971346</v>
      </c>
      <c r="F8" s="22">
        <f>F5</f>
        <v>388.49621475283118</v>
      </c>
      <c r="G8" s="22"/>
      <c r="H8" s="22"/>
      <c r="I8" s="22"/>
      <c r="J8" s="22">
        <f>J5</f>
        <v>7.0491284468025839</v>
      </c>
      <c r="K8" s="22"/>
      <c r="L8" s="22">
        <f>L5</f>
        <v>0</v>
      </c>
      <c r="M8" s="22">
        <f>M5</f>
        <v>0</v>
      </c>
      <c r="N8" s="22">
        <f>N5</f>
        <v>53.460154474728</v>
      </c>
      <c r="O8" s="22">
        <f>O5</f>
        <v>1.5633333333333335</v>
      </c>
      <c r="P8" s="22">
        <f>P5</f>
        <v>0</v>
      </c>
    </row>
    <row r="9" spans="1:16">
      <c r="B9" s="20"/>
      <c r="C9" s="20"/>
      <c r="D9" s="258"/>
      <c r="E9" s="20"/>
      <c r="F9" s="20"/>
      <c r="G9" s="20"/>
      <c r="H9" s="20"/>
      <c r="I9" s="20"/>
      <c r="J9" s="20"/>
      <c r="K9" s="20"/>
      <c r="L9" s="20"/>
      <c r="M9" s="20"/>
      <c r="N9" s="20"/>
      <c r="O9" s="20"/>
      <c r="P9" s="20"/>
    </row>
    <row r="10" spans="1:16">
      <c r="A10" s="25" t="s">
        <v>213</v>
      </c>
      <c r="B10" s="26">
        <f ca="1">'EF ele_warmte'!B12</f>
        <v>0.20170784762482541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34.21742564189946</v>
      </c>
      <c r="C12" s="24">
        <f ca="1">C10*C8</f>
        <v>0</v>
      </c>
      <c r="D12" s="24">
        <f>D8*D10</f>
        <v>40.614911436</v>
      </c>
      <c r="E12" s="24">
        <f>E10*E8</f>
        <v>2.8926546074464956</v>
      </c>
      <c r="F12" s="24">
        <f>F10*F8</f>
        <v>103.72848933900593</v>
      </c>
      <c r="G12" s="24"/>
      <c r="H12" s="24"/>
      <c r="I12" s="24"/>
      <c r="J12" s="24">
        <f>J10*J8</f>
        <v>2.4953914701681144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34</v>
      </c>
      <c r="C26" s="37"/>
      <c r="D26" s="228"/>
    </row>
    <row r="27" spans="1:5" s="16" customFormat="1">
      <c r="A27" s="230" t="s">
        <v>654</v>
      </c>
      <c r="B27" s="38">
        <f>SUM(HH_hh_gas_aantal,HH_rest_gas_aantal)</f>
        <v>10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9.5</v>
      </c>
      <c r="C31" s="35" t="s">
        <v>110</v>
      </c>
      <c r="D31" s="174"/>
    </row>
    <row r="32" spans="1:5">
      <c r="A32" s="171" t="s">
        <v>72</v>
      </c>
      <c r="B32" s="34">
        <f>IF((B21*($B$26-($B$27-0.05*$B$27)-$B$60))&lt;0,0,B21*($B$26-($B$27-0.05*$B$27)-$B$60))</f>
        <v>0.60209559892503439</v>
      </c>
      <c r="C32" s="35" t="s">
        <v>110</v>
      </c>
      <c r="D32" s="174"/>
    </row>
    <row r="33" spans="1:6">
      <c r="A33" s="171" t="s">
        <v>73</v>
      </c>
      <c r="B33" s="34">
        <f>IF((B22*($B$26-($B$27-0.05*$B$27)-$B$60))&lt;0,0,B22*($B$26-($B$27-0.05*$B$27)-$B$60))</f>
        <v>4.0528095422703938</v>
      </c>
      <c r="C33" s="35" t="s">
        <v>110</v>
      </c>
      <c r="D33" s="174"/>
    </row>
    <row r="34" spans="1:6">
      <c r="A34" s="171" t="s">
        <v>74</v>
      </c>
      <c r="B34" s="34">
        <f>IF((B24*($B$26-($B$27-0.05*$B$27)-$B$60))&lt;0,0,B24*($B$26-($B$27-0.05*$B$27)-$B$60))</f>
        <v>1.0278779254044865</v>
      </c>
      <c r="C34" s="34">
        <f>B26*C24</f>
        <v>6.9530791407484562</v>
      </c>
      <c r="D34" s="233"/>
    </row>
    <row r="35" spans="1:6">
      <c r="A35" s="171" t="s">
        <v>76</v>
      </c>
      <c r="B35" s="34">
        <f>IF((B19*($B$26-($B$27-0.05*$B$27)-$B$60))&lt;0,0,B19*($B$26-($B$27-0.05*$B$27)-$B$60))</f>
        <v>0.38213248454408827</v>
      </c>
      <c r="C35" s="34">
        <f>B35/2</f>
        <v>0.19106624227204413</v>
      </c>
      <c r="D35" s="233"/>
    </row>
    <row r="36" spans="1:6">
      <c r="A36" s="171" t="s">
        <v>77</v>
      </c>
      <c r="B36" s="34">
        <f>IF((B18*($B$26-($B$27-0.05*$B$27)-$B$60))&lt;0,0,B18*($B$26-($B$27-0.05*$B$27)-$B$60))</f>
        <v>18.435084448855989</v>
      </c>
      <c r="C36" s="35" t="s">
        <v>110</v>
      </c>
      <c r="D36" s="174"/>
    </row>
    <row r="37" spans="1:6">
      <c r="A37" s="171" t="s">
        <v>78</v>
      </c>
      <c r="B37" s="34">
        <f>B60</f>
        <v>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47.735999999999997</v>
      </c>
      <c r="C5" s="18">
        <f>IF(ISERROR('Eigen informatie GS &amp; warmtenet'!B58),0,'Eigen informatie GS &amp; warmtenet'!B58)</f>
        <v>0</v>
      </c>
      <c r="D5" s="31">
        <f>SUM(D6:D12)</f>
        <v>87.586004000000003</v>
      </c>
      <c r="E5" s="18">
        <f>SUM(E6:E12)</f>
        <v>0.41245530325807722</v>
      </c>
      <c r="F5" s="18">
        <f>SUM(F6:F12)</f>
        <v>9.5084080833662377</v>
      </c>
      <c r="G5" s="19"/>
      <c r="H5" s="18"/>
      <c r="I5" s="18"/>
      <c r="J5" s="18">
        <f>SUM(J6:J12)</f>
        <v>0</v>
      </c>
      <c r="K5" s="18"/>
      <c r="L5" s="18"/>
      <c r="M5" s="18"/>
      <c r="N5" s="18">
        <f>SUM(N6:N12)</f>
        <v>3.1397349572558553</v>
      </c>
      <c r="O5" s="18">
        <f>B38*B39*B40</f>
        <v>0</v>
      </c>
      <c r="P5" s="18">
        <f>B46*B47*B48/1000-B46*B47*B48/1000/B49</f>
        <v>0</v>
      </c>
      <c r="R5" s="33"/>
    </row>
    <row r="6" spans="1:18">
      <c r="A6" s="33" t="s">
        <v>53</v>
      </c>
      <c r="B6" s="38">
        <f>B26</f>
        <v>0</v>
      </c>
      <c r="C6" s="34"/>
      <c r="D6" s="38">
        <f>IF(ISERROR(TER_kantoor_gas_kWh/1000),0,TER_kantoor_gas_kWh/1000)*0.902</f>
        <v>0</v>
      </c>
      <c r="E6" s="34">
        <f>$C$26*'E Balans VL '!I12/100/3.6*1000000</f>
        <v>0</v>
      </c>
      <c r="F6" s="34">
        <f>$C$26*('E Balans VL '!L12+'E Balans VL '!N12)/100/3.6*1000000</f>
        <v>0</v>
      </c>
      <c r="G6" s="35"/>
      <c r="H6" s="34"/>
      <c r="I6" s="34"/>
      <c r="J6" s="34">
        <f>$C$26*('E Balans VL '!D12+'E Balans VL '!E12)/100/3.6*1000000</f>
        <v>0</v>
      </c>
      <c r="K6" s="34"/>
      <c r="L6" s="34"/>
      <c r="M6" s="34"/>
      <c r="N6" s="34">
        <f>$C$26*'E Balans VL '!Y12/100/3.6*1000000</f>
        <v>0</v>
      </c>
      <c r="O6" s="34"/>
      <c r="P6" s="34"/>
      <c r="R6" s="33"/>
    </row>
    <row r="7" spans="1:18">
      <c r="A7" s="33" t="s">
        <v>52</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51</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0</v>
      </c>
      <c r="C10" s="34"/>
      <c r="D10" s="38">
        <f>IF(ISERROR(TER_ander_gas_kWh/1000),0,TER_ander_gas_kWh/1000)*0.902</f>
        <v>0</v>
      </c>
      <c r="E10" s="34">
        <f>$C$30*'E Balans VL '!I14/100/3.6*1000000</f>
        <v>0</v>
      </c>
      <c r="F10" s="34">
        <f>$C$30*('E Balans VL '!L14+'E Balans VL '!N14)/100/3.6*1000000</f>
        <v>0</v>
      </c>
      <c r="G10" s="35"/>
      <c r="H10" s="34"/>
      <c r="I10" s="34"/>
      <c r="J10" s="34">
        <f>$C$30*('E Balans VL '!D14+'E Balans VL '!E14)/100/3.6*1000000</f>
        <v>0</v>
      </c>
      <c r="K10" s="34"/>
      <c r="L10" s="34"/>
      <c r="M10" s="34"/>
      <c r="N10" s="34">
        <f>$C$30*'E Balans VL '!Y14/100/3.6*1000000</f>
        <v>0</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47.735999999999997</v>
      </c>
      <c r="C12" s="34"/>
      <c r="D12" s="38">
        <f>IF(ISERROR(TER_rest_gas_kWh/1000),0,TER_rest_gas_kWh/1000)*0.902</f>
        <v>87.586004000000003</v>
      </c>
      <c r="E12" s="34">
        <f>$C$32*'E Balans VL '!I8/100/3.6*1000000</f>
        <v>0.41245530325807722</v>
      </c>
      <c r="F12" s="34">
        <f>$C$32*('E Balans VL '!L8+'E Balans VL '!N8)/100/3.6*1000000</f>
        <v>9.5084080833662377</v>
      </c>
      <c r="G12" s="35"/>
      <c r="H12" s="34"/>
      <c r="I12" s="34"/>
      <c r="J12" s="34">
        <f>$C$32*('E Balans VL '!D8+'E Balans VL '!E8)/100/3.6*1000000</f>
        <v>0</v>
      </c>
      <c r="K12" s="34"/>
      <c r="L12" s="34"/>
      <c r="M12" s="34"/>
      <c r="N12" s="34">
        <f>$C$32*'E Balans VL '!Y8/100/3.6*1000000</f>
        <v>3.1397349572558553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47.735999999999997</v>
      </c>
      <c r="C16" s="22">
        <f t="shared" ca="1" si="1"/>
        <v>0</v>
      </c>
      <c r="D16" s="22">
        <f t="shared" ca="1" si="1"/>
        <v>87.586004000000003</v>
      </c>
      <c r="E16" s="22">
        <f t="shared" si="1"/>
        <v>0.41245530325807722</v>
      </c>
      <c r="F16" s="22">
        <f t="shared" ca="1" si="1"/>
        <v>9.5084080833662377</v>
      </c>
      <c r="G16" s="22">
        <f t="shared" si="1"/>
        <v>0</v>
      </c>
      <c r="H16" s="22">
        <f t="shared" si="1"/>
        <v>0</v>
      </c>
      <c r="I16" s="22">
        <f t="shared" si="1"/>
        <v>0</v>
      </c>
      <c r="J16" s="22">
        <f t="shared" si="1"/>
        <v>0</v>
      </c>
      <c r="K16" s="22">
        <f t="shared" si="1"/>
        <v>0</v>
      </c>
      <c r="L16" s="22">
        <f t="shared" ca="1" si="1"/>
        <v>0</v>
      </c>
      <c r="M16" s="22">
        <f t="shared" si="1"/>
        <v>0</v>
      </c>
      <c r="N16" s="22">
        <f t="shared" ca="1" si="1"/>
        <v>3.1397349572558553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0.20170784762482541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9.6287258142186651</v>
      </c>
      <c r="C20" s="24">
        <f t="shared" ref="C20:P20" ca="1" si="2">C16*C18</f>
        <v>0</v>
      </c>
      <c r="D20" s="24">
        <f t="shared" ca="1" si="2"/>
        <v>17.692372808000002</v>
      </c>
      <c r="E20" s="24">
        <f t="shared" si="2"/>
        <v>9.3627353839583538E-2</v>
      </c>
      <c r="F20" s="24">
        <f t="shared" ca="1" si="2"/>
        <v>2.5387449582587855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0</v>
      </c>
      <c r="C26" s="40">
        <f>IF(ISERROR(B26*3.6/1000000/'E Balans VL '!Z12*100),0,B26*3.6/1000000/'E Balans VL '!Z12*100)</f>
        <v>0</v>
      </c>
      <c r="D26" s="236" t="s">
        <v>691</v>
      </c>
      <c r="F26" s="6"/>
    </row>
    <row r="27" spans="1:18">
      <c r="A27" s="231" t="s">
        <v>52</v>
      </c>
      <c r="B27" s="34">
        <f>IF(ISERROR(TER_horeca_ele_kWh/1000),0,TER_horeca_ele_kWh/1000)</f>
        <v>0</v>
      </c>
      <c r="C27" s="40">
        <f>IF(ISERROR(B27*3.6/1000000/'E Balans VL '!Z9*100),0,B27*3.6/1000000/'E Balans VL '!Z9*100)</f>
        <v>0</v>
      </c>
      <c r="D27" s="236" t="s">
        <v>691</v>
      </c>
      <c r="F27" s="6"/>
    </row>
    <row r="28" spans="1:18">
      <c r="A28" s="171" t="s">
        <v>51</v>
      </c>
      <c r="B28" s="34">
        <f>IF(ISERROR(TER_handel_ele_kWh/1000),0,TER_handel_ele_kWh/1000)</f>
        <v>0</v>
      </c>
      <c r="C28" s="40">
        <f>IF(ISERROR(B28*3.6/1000000/'E Balans VL '!Z13*100),0,B28*3.6/1000000/'E Balans VL '!Z13*100)</f>
        <v>0</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0</v>
      </c>
      <c r="C30" s="40">
        <f>IF(ISERROR(B30*3.6/1000000/'E Balans VL '!Z14*100),0,B30*3.6/1000000/'E Balans VL '!Z14*100)</f>
        <v>0</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47.735999999999997</v>
      </c>
      <c r="C32" s="40">
        <f>IF(ISERROR(B32*3.6/1000000/'E Balans VL '!Z8*100),0,B32*3.6/1000000/'E Balans VL '!Z8*100)</f>
        <v>3.9324592507582776E-4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11.263</v>
      </c>
      <c r="C5" s="18">
        <f>IF(ISERROR('Eigen informatie GS &amp; warmtenet'!B59),0,'Eigen informatie GS &amp; warmtenet'!B59)</f>
        <v>0</v>
      </c>
      <c r="D5" s="31">
        <f>SUM(D6:D15)</f>
        <v>0</v>
      </c>
      <c r="E5" s="18">
        <f>SUM(E6:E15)</f>
        <v>0.1012058371221065</v>
      </c>
      <c r="F5" s="18">
        <f>SUM(F6:F15)</f>
        <v>2.2179152585717903</v>
      </c>
      <c r="G5" s="19"/>
      <c r="H5" s="18"/>
      <c r="I5" s="18"/>
      <c r="J5" s="18">
        <f>SUM(J6:J15)</f>
        <v>5.6639041050189638E-2</v>
      </c>
      <c r="K5" s="18"/>
      <c r="L5" s="18"/>
      <c r="M5" s="18"/>
      <c r="N5" s="18">
        <f>SUM(N6:N15)</f>
        <v>0.3457444280573147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0</v>
      </c>
      <c r="C9" s="34"/>
      <c r="D9" s="38">
        <f>IF( ISERROR(IND_andere_gas_kWh/1000),0,IND_andere_gas_kWh/1000)*0.902</f>
        <v>0</v>
      </c>
      <c r="E9" s="34">
        <f>C31*'E Balans VL '!I19/100/3.6*1000000</f>
        <v>0</v>
      </c>
      <c r="F9" s="34">
        <f>C31*'E Balans VL '!L19/100/3.6*1000000+C31*'E Balans VL '!N19/100/3.6*1000000</f>
        <v>0</v>
      </c>
      <c r="G9" s="35"/>
      <c r="H9" s="34"/>
      <c r="I9" s="34"/>
      <c r="J9" s="41">
        <f>C31*'E Balans VL '!D19/100/3.6*1000000+C31*'E Balans VL '!E19/100/3.6*1000000</f>
        <v>0</v>
      </c>
      <c r="K9" s="34"/>
      <c r="L9" s="34"/>
      <c r="M9" s="34"/>
      <c r="N9" s="34">
        <f>C31*'E Balans VL '!Y19/100/3.6*1000000</f>
        <v>0</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11.263</v>
      </c>
      <c r="C15" s="34"/>
      <c r="D15" s="38">
        <f>IF( ISERROR(IND_rest_gas_kWh/1000),0,IND_rest_gas_kWh/1000)*0.902</f>
        <v>0</v>
      </c>
      <c r="E15" s="34">
        <f>C37*'E Balans VL '!I15/100/3.6*1000000</f>
        <v>0.1012058371221065</v>
      </c>
      <c r="F15" s="34">
        <f>C37*'E Balans VL '!L15/100/3.6*1000000+C37*'E Balans VL '!N15/100/3.6*1000000</f>
        <v>2.2179152585717903</v>
      </c>
      <c r="G15" s="35"/>
      <c r="H15" s="34"/>
      <c r="I15" s="34"/>
      <c r="J15" s="41">
        <f>C37*'E Balans VL '!D15/100/3.6*1000000+C37*'E Balans VL '!E15/100/3.6*1000000</f>
        <v>5.6639041050189638E-2</v>
      </c>
      <c r="K15" s="34"/>
      <c r="L15" s="34"/>
      <c r="M15" s="34"/>
      <c r="N15" s="34">
        <f>C37*'E Balans VL '!Y15/100/3.6*1000000</f>
        <v>0.3457444280573147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11.263</v>
      </c>
      <c r="C18" s="22">
        <f>C5+C16</f>
        <v>0</v>
      </c>
      <c r="D18" s="22">
        <f>MAX((D5+D16),0)</f>
        <v>0</v>
      </c>
      <c r="E18" s="22">
        <f>MAX((E5+E16),0)</f>
        <v>0.1012058371221065</v>
      </c>
      <c r="F18" s="22">
        <f>MAX((F5+F16),0)</f>
        <v>2.2179152585717903</v>
      </c>
      <c r="G18" s="22"/>
      <c r="H18" s="22"/>
      <c r="I18" s="22"/>
      <c r="J18" s="22">
        <f>MAX((J5+J16),0)</f>
        <v>5.6639041050189638E-2</v>
      </c>
      <c r="K18" s="22"/>
      <c r="L18" s="22">
        <f>MAX((L5+L16),0)</f>
        <v>0</v>
      </c>
      <c r="M18" s="22"/>
      <c r="N18" s="22">
        <f>MAX((N5+N16),0)</f>
        <v>0.3457444280573147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0.20170784762482541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2.2718354877984086</v>
      </c>
      <c r="C22" s="24">
        <f ca="1">C18*C20</f>
        <v>0</v>
      </c>
      <c r="D22" s="24">
        <f>D18*D20</f>
        <v>0</v>
      </c>
      <c r="E22" s="24">
        <f>E18*E20</f>
        <v>2.2973725026718177E-2</v>
      </c>
      <c r="F22" s="24">
        <f>F18*F20</f>
        <v>0.59218337403866805</v>
      </c>
      <c r="G22" s="24"/>
      <c r="H22" s="24"/>
      <c r="I22" s="24"/>
      <c r="J22" s="24">
        <f>J18*J20</f>
        <v>2.0050220531767131E-2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0</v>
      </c>
      <c r="C31" s="40">
        <f>IF(ISERROR(B31*3.6/1000000/'E Balans VL '!Z19*100),0,B31*3.6/1000000/'E Balans VL '!Z19*100)</f>
        <v>0</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11.263</v>
      </c>
      <c r="C37" s="40">
        <f>IF(ISERROR(B37*3.6/1000000/'E Balans VL '!Z15*100),0,B37*3.6/1000000/'E Balans VL '!Z15*100)</f>
        <v>8.505228796690962E-5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42.893000000000001</v>
      </c>
      <c r="C5" s="18">
        <f>'Eigen informatie GS &amp; warmtenet'!B60</f>
        <v>0</v>
      </c>
      <c r="D5" s="31">
        <f>IF(ISERROR(SUM(LB_lb_gas_kWh,LB_rest_gas_kWh)/1000),0,SUM(LB_lb_gas_kWh,LB_rest_gas_kWh)/1000)*0.902</f>
        <v>47.048319999999997</v>
      </c>
      <c r="E5" s="18">
        <f>B17*'E Balans VL '!I25/3.6*1000000/100</f>
        <v>0.40408079925273654</v>
      </c>
      <c r="F5" s="18">
        <f>B17*('E Balans VL '!L25/3.6*1000000+'E Balans VL '!N25/3.6*1000000)/100</f>
        <v>139.97409393654144</v>
      </c>
      <c r="G5" s="19"/>
      <c r="H5" s="18"/>
      <c r="I5" s="18"/>
      <c r="J5" s="18">
        <f>('E Balans VL '!D25+'E Balans VL '!E25)/3.6*1000000*landbouw!B17/100</f>
        <v>5.3060727315119243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42.893000000000001</v>
      </c>
      <c r="C8" s="22">
        <f>C5+C6</f>
        <v>0</v>
      </c>
      <c r="D8" s="22">
        <f>MAX((D5+D6),0)</f>
        <v>47.048319999999997</v>
      </c>
      <c r="E8" s="22">
        <f>MAX((E5+E6),0)</f>
        <v>0.40408079925273654</v>
      </c>
      <c r="F8" s="22">
        <f>MAX((F5+F6),0)</f>
        <v>139.97409393654144</v>
      </c>
      <c r="G8" s="22"/>
      <c r="H8" s="22"/>
      <c r="I8" s="22"/>
      <c r="J8" s="22">
        <f>MAX((J5+J6),0)</f>
        <v>5.3060727315119243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0.20170784762482541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8.651854708171637</v>
      </c>
      <c r="C12" s="24">
        <f ca="1">C8*C10</f>
        <v>0</v>
      </c>
      <c r="D12" s="24">
        <f>D8*D10</f>
        <v>9.5037606399999994</v>
      </c>
      <c r="E12" s="24">
        <f>E8*E10</f>
        <v>9.17263414303712E-2</v>
      </c>
      <c r="F12" s="24">
        <f>F8*F10</f>
        <v>37.373083081056564</v>
      </c>
      <c r="G12" s="24"/>
      <c r="H12" s="24"/>
      <c r="I12" s="24"/>
      <c r="J12" s="24">
        <f>J8*J10</f>
        <v>1.8783497469552211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5.8070267917704243E-3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6.6580200361825144</v>
      </c>
      <c r="C26" s="246">
        <f>B26*'GWP N2O_CH4'!B5</f>
        <v>139.8184207598328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0.38492115726305171</v>
      </c>
      <c r="C27" s="246">
        <f>B27*'GWP N2O_CH4'!B5</f>
        <v>8.0833443025240861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0.12560619982152968</v>
      </c>
      <c r="C28" s="246">
        <f>B28*'GWP N2O_CH4'!B4</f>
        <v>38.937921944674201</v>
      </c>
      <c r="D28" s="51"/>
    </row>
    <row r="29" spans="1:4">
      <c r="A29" s="42" t="s">
        <v>272</v>
      </c>
      <c r="B29" s="246">
        <f>B34*'ha_N2O bodem landbouw'!B4</f>
        <v>0.60117476910131085</v>
      </c>
      <c r="C29" s="246">
        <f>B29*'GWP N2O_CH4'!B4</f>
        <v>186.36417842140636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1.6229826251520614E-4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5.167433323288936E-7</v>
      </c>
      <c r="C5" s="435" t="s">
        <v>210</v>
      </c>
      <c r="D5" s="420">
        <f>SUM(D6:D11)</f>
        <v>6.5272421235401357E-7</v>
      </c>
      <c r="E5" s="420">
        <f>SUM(E6:E11)</f>
        <v>4.1797266964928306E-5</v>
      </c>
      <c r="F5" s="433" t="s">
        <v>210</v>
      </c>
      <c r="G5" s="420">
        <f>SUM(G6:G11)</f>
        <v>8.1003924118334281E-3</v>
      </c>
      <c r="H5" s="420">
        <f>SUM(H6:H11)</f>
        <v>1.5739165630844841E-3</v>
      </c>
      <c r="I5" s="435" t="s">
        <v>210</v>
      </c>
      <c r="J5" s="435" t="s">
        <v>210</v>
      </c>
      <c r="K5" s="435" t="s">
        <v>210</v>
      </c>
      <c r="L5" s="435" t="s">
        <v>210</v>
      </c>
      <c r="M5" s="420">
        <f>SUM(M6:M11)</f>
        <v>4.3252640128661551E-4</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4.2193456741240358E-7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4.9141937324278266E-7</v>
      </c>
      <c r="E6" s="423">
        <f>vkm_GW_PW*SUMIFS(TableVerdeelsleutelVkm[LPG],TableVerdeelsleutelVkm[Voertuigtype],"Lichte voertuigen")*SUMIFS(TableECFTransport[EnergieConsumptieFactor (PJ per km)],TableECFTransport[Index],CONCATENATE($A6,"_LPG_LPG"))</f>
        <v>3.1882026132515738E-5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4.9741954896320448E-3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1.1987803260013353E-3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2.7624106976254496E-4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9.7032333682316365E-9</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1.6051289382990701E-3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4.3071329189525539E-8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7.1423001528395259E-5</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8.4800340650312279E-8</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1.6130483911123094E-7</v>
      </c>
      <c r="E8" s="423">
        <f>vkm_NGW_PW*SUMIFS(TableVerdeelsleutelVkm[LPG],TableVerdeelsleutelVkm[Voertuigtype],"Lichte voertuigen")*SUMIFS(TableECFTransport[EnergieConsumptieFactor (PJ per km)],TableECFTransport[Index],CONCATENATE($A8,"_LPG_LPG"))</f>
        <v>9.915240832412568E-6</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1.4563283782245552E-3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3.7509153059559191E-4</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8.1981633409410778E-5</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3.0519089794613637E-10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6.4739605677757858E-5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1.6351583675301981E-9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2.8806965862645507E-6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0.14353981453580378</v>
      </c>
      <c r="C14" s="22"/>
      <c r="D14" s="22">
        <f t="shared" ref="D14:M14" si="0">((D5)*10^9/3600)+D12</f>
        <v>0.18131228120944823</v>
      </c>
      <c r="E14" s="22">
        <f t="shared" si="0"/>
        <v>11.610351934702306</v>
      </c>
      <c r="F14" s="22"/>
      <c r="G14" s="22">
        <f t="shared" si="0"/>
        <v>2250.1090032870634</v>
      </c>
      <c r="H14" s="22">
        <f t="shared" si="0"/>
        <v>437.19904530124558</v>
      </c>
      <c r="I14" s="22"/>
      <c r="J14" s="22"/>
      <c r="K14" s="22"/>
      <c r="L14" s="22"/>
      <c r="M14" s="22">
        <f t="shared" si="0"/>
        <v>120.14622257961543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0.20170784762482541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2.8953107038483607E-2</v>
      </c>
      <c r="C18" s="24"/>
      <c r="D18" s="24">
        <f t="shared" ref="D18:M18" si="1">D14*D16</f>
        <v>3.6625080804308548E-2</v>
      </c>
      <c r="E18" s="24">
        <f t="shared" si="1"/>
        <v>2.6355498891774238</v>
      </c>
      <c r="F18" s="24"/>
      <c r="G18" s="24">
        <f t="shared" si="1"/>
        <v>600.77910387764598</v>
      </c>
      <c r="H18" s="24">
        <f t="shared" si="1"/>
        <v>108.86256228001015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2.9367656689549864E-7</v>
      </c>
      <c r="C50" s="316">
        <f t="shared" ref="C50:P50" si="2">SUM(C51:C52)</f>
        <v>0</v>
      </c>
      <c r="D50" s="316">
        <f t="shared" si="2"/>
        <v>0</v>
      </c>
      <c r="E50" s="316">
        <f t="shared" si="2"/>
        <v>0</v>
      </c>
      <c r="F50" s="316">
        <f t="shared" si="2"/>
        <v>0</v>
      </c>
      <c r="G50" s="316">
        <f t="shared" si="2"/>
        <v>5.8574370269849997E-5</v>
      </c>
      <c r="H50" s="316">
        <f t="shared" si="2"/>
        <v>0</v>
      </c>
      <c r="I50" s="316">
        <f t="shared" si="2"/>
        <v>0</v>
      </c>
      <c r="J50" s="316">
        <f t="shared" si="2"/>
        <v>0</v>
      </c>
      <c r="K50" s="316">
        <f t="shared" si="2"/>
        <v>0</v>
      </c>
      <c r="L50" s="316">
        <f t="shared" si="2"/>
        <v>0</v>
      </c>
      <c r="M50" s="316">
        <f t="shared" si="2"/>
        <v>2.5889247807211262E-6</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2.9367656689549864E-7</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5.8574370269849997E-5</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2.5889247807211262E-6</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8.1576824137638504E-2</v>
      </c>
      <c r="C54" s="22">
        <f t="shared" ref="C54:P54" si="3">(C50)*10^9/3600</f>
        <v>0</v>
      </c>
      <c r="D54" s="22">
        <f t="shared" si="3"/>
        <v>0</v>
      </c>
      <c r="E54" s="22">
        <f t="shared" si="3"/>
        <v>0</v>
      </c>
      <c r="F54" s="22">
        <f t="shared" si="3"/>
        <v>0</v>
      </c>
      <c r="G54" s="22">
        <f t="shared" si="3"/>
        <v>16.270658408291666</v>
      </c>
      <c r="H54" s="22">
        <f t="shared" si="3"/>
        <v>0</v>
      </c>
      <c r="I54" s="22">
        <f t="shared" si="3"/>
        <v>0</v>
      </c>
      <c r="J54" s="22">
        <f t="shared" si="3"/>
        <v>0</v>
      </c>
      <c r="K54" s="22">
        <f t="shared" si="3"/>
        <v>0</v>
      </c>
      <c r="L54" s="22">
        <f t="shared" si="3"/>
        <v>0</v>
      </c>
      <c r="M54" s="22">
        <f t="shared" si="3"/>
        <v>0.71914577242253508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0.20170784762482541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1.6454685612871965E-2</v>
      </c>
      <c r="C58" s="24">
        <f t="shared" ref="C58:P58" ca="1" si="4">C54*C56</f>
        <v>0</v>
      </c>
      <c r="D58" s="24">
        <f t="shared" si="4"/>
        <v>0</v>
      </c>
      <c r="E58" s="24">
        <f t="shared" si="4"/>
        <v>0</v>
      </c>
      <c r="F58" s="24">
        <f t="shared" si="4"/>
        <v>0</v>
      </c>
      <c r="G58" s="24">
        <f t="shared" si="4"/>
        <v>4.3442657950138752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24.696544284818973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24.696544284818973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2021-06-29T16:49:49Z</dcterms:modified>
</cp:coreProperties>
</file>