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87" i="14" l="1"/>
  <c r="I17" i="56" s="1"/>
  <c r="J76" i="14"/>
  <c r="J8" i="56" s="1"/>
  <c r="J10" i="56" s="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R10" i="14" s="1"/>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<sst xmlns="http://schemas.openxmlformats.org/spreadsheetml/2006/main" count="2565" uniqueCount="965">
  <si>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</si>
  <si>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</si>
  <si>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</si>
  <si>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</si>
  <si>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</si>
  <si>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</si>
  <si>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</si>
  <si>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</si>
  <si>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</si>
  <si>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</si>
  <si>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</si>
  <si>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</si>
  <si>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</si>
  <si>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</si>
  <si>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</si>
  <si>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</si>
  <si>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</si>
  <si>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</si>
  <si>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</si>
  <si>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</si>
  <si>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</si>
  <si>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</si>
  <si>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</si>
  <si>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</si>
  <si>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</si>
  <si>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</si>
  <si>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</si>
  <si>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</si>
  <si>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</si>
  <si>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</si>
  <si>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</si>
  <si>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</si>
  <si>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</si>
  <si>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</si>
  <si>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</si>
  <si>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</si>
  <si>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</si>
  <si>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</si>
  <si>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</si>
  <si>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</si>
  <si>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</si>
  <si>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</si>
  <si>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</si>
  <si>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</si>
  <si>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</si>
  <si>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</si>
  <si>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</si>
  <si>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</si>
  <si>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</si>
  <si>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</si>
  <si>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</si>
  <si>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</si>
  <si>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</si>
  <si>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</si>
  <si>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</si>
  <si>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</si>
  <si>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</si>
  <si>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</si>
  <si>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</si>
  <si>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</si>
  <si>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</si>
  <si>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</si>
  <si>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</si>
  <si>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</si>
  <si>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</si>
  <si>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</si>
  <si>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</si>
  <si>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</si>
  <si>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</si>
  <si>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</si>
  <si>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</si>
  <si>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</si>
  <si>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</si>
  <si>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</si>
  <si>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</si>
  <si>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</si>
  <si>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</si>
  <si>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</si>
  <si>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</si>
  <si>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</si>
  <si>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</si>
  <si>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</si>
  <si>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</si>
  <si>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</si>
  <si>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</si>
  <si>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</si>
  <si>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</si>
  <si>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</si>
  <si>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</si>
  <si>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</si>
  <si>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</si>
  <si>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</si>
  <si>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</si>
  <si>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</si>
  <si>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</si>
  <si>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</si>
  <si>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</si>
  <si>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</si>
  <si>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</si>
  <si>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</si>
  <si>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</si>
  <si>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</si>
  <si>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</si>
  <si>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</si>
  <si>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</si>
  <si>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</si>
  <si>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</si>
  <si>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</si>
  <si>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</si>
  <si>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</si>
  <si>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</si>
  <si>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</si>
  <si>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</si>
  <si>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</si>
  <si>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</si>
  <si>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</si>
  <si>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</si>
  <si>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</si>
  <si>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</si>
  <si>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</si>
  <si>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</si>
  <si>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</si>
  <si>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</si>
  <si>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</si>
  <si>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</si>
  <si>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</si>
  <si>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</si>
  <si>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</si>
  <si>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</si>
  <si>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</si>
  <si>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</si>
  <si>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</si>
  <si>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</si>
  <si>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</si>
  <si>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</si>
  <si>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</si>
  <si>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</si>
  <si>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</si>
  <si>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</si>
  <si>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</si>
  <si>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</si>
  <si>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</si>
  <si>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</si>
  <si>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</si>
  <si>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</si>
  <si>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</si>
  <si>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</si>
  <si>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</si>
  <si>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</si>
  <si>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</si>
  <si>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</si>
  <si>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</si>
  <si>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</si>
  <si>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</si>
  <si>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</si>
  <si>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</si>
  <si>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</si>
  <si>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</si>
  <si>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</si>
  <si>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</si>
  <si>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</si>
  <si>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</si>
  <si>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</si>
  <si>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</si>
  <si>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</si>
  <si>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</si>
  <si>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</si>
  <si>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</si>
  <si>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</si>
  <si>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</si>
  <si>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</si>
  <si>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</si>
  <si>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</si>
  <si>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</si>
  <si>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</si>
  <si>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</si>
  <si>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</si>
  <si>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</si>
  <si>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</si>
  <si>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</si>
  <si>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</si>
  <si>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</si>
  <si>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</si>
  <si>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</si>
  <si>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</si>
  <si>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</si>
  <si>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</si>
  <si>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</si>
  <si>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</si>
  <si>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</si>
  <si>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</si>
  <si>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</si>
  <si>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</si>
  <si>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</si>
  <si>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</si>
  <si>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</si>
  <si>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</si>
  <si>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</si>
  <si>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</si>
  <si>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</si>
  <si>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</si>
  <si>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</si>
  <si>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</si>
  <si>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</si>
  <si>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</si>
  <si>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</si>
  <si>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</si>
  <si>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</si>
  <si>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</si>
  <si>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</si>
  <si>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</si>
  <si>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</si>
  <si>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</si>
  <si>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</si>
  <si>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</si>
  <si>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</si>
  <si>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</si>
  <si>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</si>
  <si>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</si>
  <si>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</si>
  <si>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</si>
  <si>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</si>
  <si>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</si>
  <si>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</si>
  <si>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</si>
  <si>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</si>
  <si>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</si>
  <si>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</si>
  <si>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</si>
  <si>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</si>
  <si>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</si>
  <si>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</si>
  <si>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</si>
  <si>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</si>
  <si>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</si>
  <si>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</si>
  <si>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</si>
  <si>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</si>
  <si>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</si>
  <si>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</si>
  <si>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</si>
  <si>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</si>
  <si>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</si>
  <si>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</si>
  <si>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</si>
  <si>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</si>
  <si>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</si>
  <si>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</si>
  <si>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</si>
  <si>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</si>
  <si>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</si>
  <si>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</si>
  <si>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</si>
  <si>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</si>
  <si>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</si>
  <si>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</si>
  <si>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</si>
  <si>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</si>
  <si>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</si>
  <si>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</si>
  <si>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</si>
  <si>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</si>
  <si>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</si>
  <si>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</si>
  <si>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</si>
  <si>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</si>
  <si>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</si>
  <si>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</si>
  <si>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</si>
  <si>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</si>
  <si>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</si>
  <si>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</si>
  <si>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</si>
  <si>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</si>
  <si>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</si>
  <si>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</si>
  <si>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</si>
  <si>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</si>
  <si>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</si>
  <si>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</si>
  <si>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</si>
  <si>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</si>
  <si>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</si>
  <si>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</si>
  <si>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</si>
  <si>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</si>
  <si>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</si>
  <si>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</si>
  <si>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</si>
  <si>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</si>
  <si>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</si>
  <si>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</si>
  <si>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</si>
  <si>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</si>
  <si>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</si>
  <si>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</si>
  <si>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</si>
  <si>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</si>
  <si>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</si>
  <si>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</si>
  <si>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</si>
  <si>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</si>
  <si>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</si>
  <si>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</si>
  <si>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</si>
  <si>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</si>
  <si>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</si>
  <si>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</si>
  <si>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</si>
  <si>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</si>
  <si>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</si>
  <si>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</si>
  <si>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</si>
  <si>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</si>
  <si>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</si>
  <si>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</si>
  <si>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</si>
  <si>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</si>
  <si>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</si>
  <si>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</si>
  <si>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</si>
  <si>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</si>
  <si>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</si>
  <si>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</si>
  <si>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</si>
  <si>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</si>
  <si>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</si>
  <si>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</si>
  <si>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</si>
  <si>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</si>
  <si>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</si>
  <si>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</si>
  <si>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</si>
  <si>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</si>
  <si>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</si>
  <si>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</si>
  <si>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</si>
  <si>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</si>
  <si>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</si>
  <si>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</si>
  <si>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</si>
  <si>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</si>
  <si>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</si>
  <si>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</si>
  <si>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</si>
  <si>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</si>
  <si>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</si>
  <si>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</si>
  <si>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</si>
  <si>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</si>
  <si>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</si>
  <si>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</si>
  <si>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</si>
  <si>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</si>
  <si>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</si>
  <si>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</si>
  <si>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</si>
  <si>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</si>
  <si>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</si>
  <si>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</si>
  <si>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</si>
  <si>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</si>
  <si>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</si>
  <si>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</si>
  <si>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</si>
  <si>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</si>
  <si>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</si>
  <si>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</si>
  <si>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</si>
  <si>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</si>
  <si>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</si>
  <si>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</si>
  <si>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</si>
  <si>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</si>
  <si>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</si>
  <si>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</si>
  <si>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</si>
  <si>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</si>
  <si>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</si>
  <si>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</si>
  <si>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</si>
  <si>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</si>
  <si>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</si>
  <si>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</si>
  <si>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</si>
  <si>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</si>
  <si>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</si>
  <si>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</si>
  <si>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</si>
  <si>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</si>
  <si>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</si>
  <si>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</si>
  <si>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</si>
  <si>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</si>
  <si>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</si>
  <si>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</si>
  <si>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</si>
  <si>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</si>
  <si>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</si>
  <si>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</si>
  <si>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</si>
  <si>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</si>
  <si>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</si>
  <si>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</si>
  <si>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</si>
  <si>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</si>
  <si>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</si>
  <si>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</si>
  <si>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</si>
  <si>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</si>
  <si>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</si>
  <si>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</si>
  <si>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</si>
  <si>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</si>
  <si>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</si>
  <si>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</si>
  <si>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</si>
  <si>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</si>
  <si>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</si>
  <si>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</si>
  <si>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</si>
  <si>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</si>
  <si>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</si>
  <si>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</si>
  <si>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</si>
  <si>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</si>
  <si>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</si>
  <si>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</si>
  <si>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</si>
  <si>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</si>
  <si>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</si>
  <si>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</si>
  <si>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</si>
  <si>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</si>
  <si>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</si>
  <si>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</si>
  <si>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</si>
  <si>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</si>
  <si>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</si>
  <si>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</si>
  <si>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</si>
  <si>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</si>
  <si>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</si>
  <si>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</si>
  <si>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</si>
  <si>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</si>
  <si>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</si>
  <si>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</si>
  <si>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</si>
  <si>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</si>
  <si>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</si>
  <si>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</si>
  <si>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</si>
  <si>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</si>
  <si>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</si>
  <si>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</si>
  <si>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</si>
  <si>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</si>
  <si>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</si>
  <si>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</si>
  <si>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</si>
  <si>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</si>
  <si>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</si>
  <si>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</si>
  <si>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</si>
  <si>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</si>
  <si>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</si>
  <si>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</si>
  <si>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</si>
  <si>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</si>
  <si>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</si>
  <si>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</si>
  <si>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</si>
  <si>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</si>
  <si>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</si>
  <si>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</si>
  <si>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</si>
  <si>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</si>
  <si>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</si>
  <si>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</si>
  <si>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</si>
  <si>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</si>
  <si>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</si>
  <si>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</si>
  <si>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</si>
  <si>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</si>
  <si>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</si>
  <si>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</si>
  <si>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</si>
  <si>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</si>
  <si>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</si>
  <si>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</si>
  <si>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</si>
  <si>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</si>
  <si>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</si>
  <si>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</si>
  <si>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</si>
  <si>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</si>
  <si>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</si>
  <si>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</si>
  <si>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</si>
  <si>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</si>
  <si>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</si>
  <si>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</si>
  <si>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</si>
  <si>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</si>
  <si>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</si>
  <si>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</si>
  <si>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</si>
  <si>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</si>
  <si>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</si>
  <si>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</si>
  <si>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</si>
  <si>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</si>
  <si>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</si>
  <si>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</si>
  <si>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</si>
  <si>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</si>
  <si>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</si>
  <si>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</si>
  <si>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</si>
  <si>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</si>
  <si>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</si>
  <si>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</si>
  <si>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</si>
  <si>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</si>
  <si>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</si>
  <si>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</si>
  <si>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</si>
  <si>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</si>
  <si>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</si>
  <si>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</si>
  <si>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</si>
  <si>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</si>
  <si>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</si>
  <si>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</si>
  <si>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</si>
  <si>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</si>
  <si>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</si>
  <si>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</si>
  <si>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</si>
  <si>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</si>
  <si>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</si>
  <si>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</si>
  <si>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</si>
  <si>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</si>
  <si>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</si>
  <si>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</si>
  <si>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</si>
  <si>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</si>
  <si>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</si>
  <si>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</si>
  <si>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</si>
  <si>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</si>
  <si>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</si>
  <si>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</si>
  <si>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</si>
  <si>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</si>
  <si>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</si>
  <si>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</si>
  <si>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</si>
  <si>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</si>
  <si>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</si>
  <si>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</si>
  <si>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</si>
  <si>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</si>
  <si>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</si>
  <si>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</si>
  <si>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</si>
  <si>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</si>
  <si>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</si>
  <si>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</si>
  <si>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</si>
  <si>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</si>
  <si>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</si>
  <si>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</si>
  <si>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</si>
  <si>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</si>
  <si>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</si>
  <si>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</si>
  <si>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</si>
  <si>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</si>
  <si>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</si>
  <si>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</si>
  <si>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</si>
  <si>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</si>
  <si>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</si>
  <si>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</si>
  <si>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</si>
  <si>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</si>
  <si>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</si>
  <si>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</si>
  <si>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</si>
  <si>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</si>
  <si>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</si>
  <si>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</si>
  <si>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</si>
  <si>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</si>
  <si>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</si>
  <si>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</si>
  <si>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</si>
  <si>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</si>
  <si>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</si>
  <si>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</si>
  <si>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</si>
  <si>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</si>
  <si>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</si>
  <si>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</si>
  <si>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</si>
  <si>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</si>
  <si>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</si>
  <si>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</si>
  <si>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</si>
  <si>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</si>
  <si>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</si>
  <si>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</si>
  <si>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</si>
  <si>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</si>
  <si>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</si>
  <si>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</si>
  <si>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</si>
  <si>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</si>
  <si>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</si>
  <si>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</si>
  <si>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</si>
  <si>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</si>
  <si>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</si>
  <si>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</si>
  <si>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</si>
  <si>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</si>
  <si>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</si>
  <si>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</si>
  <si>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</si>
  <si>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</si>
  <si>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</si>
  <si>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</si>
  <si>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</si>
  <si>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</si>
  <si>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</si>
  <si>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</si>
  <si>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</si>
  <si>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</si>
  <si>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</si>
  <si>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</si>
  <si>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</si>
  <si>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</si>
  <si>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</si>
  <si>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</si>
  <si>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</si>
  <si>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</si>
  <si>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</si>
  <si>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</si>
  <si>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</si>
  <si>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</si>
  <si>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</si>
  <si>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</si>
  <si>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</si>
  <si>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</si>
  <si>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</si>
  <si>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</si>
  <si>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</si>
  <si>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</si>
  <si>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</si>
  <si>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</si>
  <si>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</si>
  <si>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</si>
  <si>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</si>
  <si>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</si>
  <si>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</si>
  <si>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</si>
  <si>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</si>
  <si>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</si>
  <si>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</si>
  <si>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</si>
  <si>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</si>
  <si>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</si>
  <si>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</si>
  <si>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</si>
  <si>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</si>
  <si>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</si>
  <si>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</si>
  <si>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</si>
  <si>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</si>
  <si>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</si>
  <si>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</si>
  <si>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</si>
  <si>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</si>
  <si>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</si>
  <si>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</si>
  <si>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</si>
  <si>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</si>
  <si>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</si>
  <si>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</si>
  <si>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</si>
  <si>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</si>
  <si>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</si>
  <si>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</si>
  <si>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</si>
  <si>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</si>
  <si>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</si>
  <si>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</si>
  <si>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</si>
  <si>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</si>
  <si>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</si>
  <si>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</si>
  <si>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</si>
  <si>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</si>
  <si>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</si>
  <si>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</si>
  <si>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</si>
  <si>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</si>
  <si>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</si>
  <si>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</si>
  <si>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</si>
  <si>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</si>
  <si>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</si>
  <si>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</si>
  <si>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</si>
  <si>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</si>
  <si>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</si>
  <si>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</si>
  <si>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</si>
  <si>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</si>
  <si>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</si>
  <si>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</si>
  <si>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</si>
  <si>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</si>
  <si>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</si>
  <si>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</si>
  <si>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</si>
  <si>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</si>
  <si>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</si>
  <si>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</si>
  <si>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</si>
  <si>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</si>
  <si>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</si>
  <si>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</si>
  <si>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</si>
  <si>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</si>
  <si>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</si>
  <si>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</si>
  <si>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</si>
  <si>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</si>
  <si>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</si>
  <si>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</si>
  <si>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</si>
  <si>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</si>
  <si>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</si>
  <si>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</si>
  <si>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</si>
  <si>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</si>
  <si>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</si>
  <si>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</si>
  <si>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</si>
  <si>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</si>
  <si>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</si>
  <si>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</si>
  <si>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</si>
  <si>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</si>
  <si>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</si>
  <si>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</si>
  <si>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</si>
  <si>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</si>
  <si>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</si>
  <si>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</si>
  <si>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</si>
  <si>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</si>
  <si>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</si>
  <si>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</si>
  <si>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</si>
  <si>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</si>
  <si>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</si>
  <si>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</si>
  <si>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</si>
  <si>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</si>
  <si>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</si>
  <si>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</si>
  <si>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</si>
  <si>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</si>
  <si>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</si>
  <si>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</si>
  <si>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</si>
  <si>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</si>
  <si>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</si>
  <si>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</si>
  <si>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</si>
  <si>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</si>
  <si>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</si>
  <si>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</si>
  <si>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</si>
  <si>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</si>
  <si>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</si>
  <si>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</si>
  <si>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</si>
  <si>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</si>
  <si>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</si>
  <si>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</si>
  <si>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</si>
  <si>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</si>
  <si>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</si>
  <si>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</si>
  <si>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</si>
  <si>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</si>
  <si>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</si>
  <si>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</si>
  <si>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</si>
  <si>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</si>
  <si>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</si>
  <si>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</si>
  <si>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</si>
  <si>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</si>
  <si>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</si>
  <si>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</si>
  <si>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</si>
  <si>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</si>
  <si>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</si>
  <si>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</si>
  <si>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</si>
  <si>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</si>
  <si>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</si>
  <si>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</si>
  <si>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</si>
  <si>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</si>
  <si>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</si>
  <si>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</si>
  <si>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</si>
  <si>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</si>
  <si>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</si>
  <si>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</si>
  <si>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</si>
  <si>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</si>
  <si>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</si>
  <si>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</si>
  <si>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</si>
  <si>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</si>
  <si>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</si>
  <si>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</si>
  <si>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</si>
  <si>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</si>
  <si>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</si>
  <si>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</si>
  <si>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</si>
  <si>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</si>
  <si>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</si>
  <si>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</si>
  <si>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</si>
  <si>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</si>
  <si>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</si>
  <si>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</si>
  <si>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</si>
  <si>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</si>
  <si>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</si>
  <si>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</si>
  <si>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</si>
  <si>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</si>
  <si>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</si>
  <si>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</si>
  <si>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</si>
  <si>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</si>
  <si>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</si>
  <si>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</si>
  <si>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</si>
  <si>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</si>
  <si>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</si>
  <si>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</si>
  <si>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</si>
  <si>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</si>
  <si>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</si>
  <si>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</si>
  <si>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</si>
  <si>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</si>
  <si>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</si>
  <si>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</si>
  <si>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</si>
  <si>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</si>
  <si>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</si>
  <si>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</si>
  <si>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</si>
  <si>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</si>
  <si>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</si>
  <si>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</si>
  <si>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</si>
  <si>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</si>
  <si>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</si>
  <si>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</si>
  <si>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</si>
  <si>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</si>
  <si>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</si>
  <si>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</si>
  <si>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</si>
  <si>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</si>
  <si>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</si>
  <si>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</si>
  <si>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</si>
  <si>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</si>
  <si>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</si>
  <si>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</si>
  <si>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</si>
  <si>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</si>
  <si>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</si>
  <si>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</si>
  <si>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</si>
  <si>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</si>
  <si>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</si>
  <si>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</si>
  <si>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</si>
  <si>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</si>
  <si>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</si>
  <si>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</si>
  <si>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</si>
  <si>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</si>
  <si>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</si>
  <si>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</si>
  <si>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</si>
  <si>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</si>
  <si>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</si>
  <si>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</si>
  <si>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</si>
  <si>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</si>
  <si>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</si>
  <si>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</si>
  <si>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</si>
  <si>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</si>
  <si>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</si>
  <si>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</si>
  <si>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</si>
  <si>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</si>
  <si>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</si>
  <si>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</si>
  <si>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</si>
  <si>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</si>
  <si>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</si>
  <si>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</si>
  <si>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</si>
  <si>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</si>
  <si>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</si>
  <si>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</si>
  <si>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</si>
  <si>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</si>
  <si>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</si>
  <si>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</si>
  <si>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</si>
  <si>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</si>
  <si>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</si>
  <si>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</si>
  <si>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</si>
  <si>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</si>
  <si>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</si>
  <si>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</si>
  <si>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</si>
  <si>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</si>
  <si>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</si>
  <si>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</si>
  <si>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</si>
  <si>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</si>
  <si>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</si>
  <si>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</si>
  <si>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</si>
  <si>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</si>
  <si>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73009</t>
  </si>
  <si>
    <t>BORGLOON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</si>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</sst>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73009</v>
      </c>
      <c r="B6" s="386"/>
      <c r="C6" s="387"/>
    </row>
    <row r="7" spans="1:7" s="384" customFormat="1" ht="15.75" customHeight="1">
      <c r="A7" s="388" t="str">
        <f>txtMunicipality</f>
        <v>BORGLOON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19684.133000000002</v>
      </c>
      <c r="D10" s="676">
        <f ca="1">tertiair!C16</f>
        <v>0</v>
      </c>
      <c r="E10" s="676">
        <f ca="1">tertiair!D16</f>
        <v>9361.4584140000006</v>
      </c>
      <c r="F10" s="676">
        <f>tertiair!E16</f>
        <v>138.90126765746217</v>
      </c>
      <c r="G10" s="676">
        <f ca="1">tertiair!F16</f>
        <v>3726.3314668394587</v>
      </c>
      <c r="H10" s="676">
        <f>tertiair!G16</f>
        <v>0</v>
      </c>
      <c r="I10" s="676">
        <f>tertiair!H16</f>
        <v>0</v>
      </c>
      <c r="J10" s="676">
        <f>tertiair!I16</f>
        <v>0</v>
      </c>
      <c r="K10" s="676">
        <f>tertiair!J16</f>
        <v>0</v>
      </c>
      <c r="L10" s="676">
        <f>tertiair!K16</f>
        <v>0</v>
      </c>
      <c r="M10" s="676">
        <f ca="1">tertiair!L16</f>
        <v>0</v>
      </c>
      <c r="N10" s="676">
        <f>tertiair!M16</f>
        <v>0</v>
      </c>
      <c r="O10" s="676">
        <f ca="1">tertiair!N16</f>
        <v>886.25128017264581</v>
      </c>
      <c r="P10" s="676">
        <f>tertiair!O16</f>
        <v>0</v>
      </c>
      <c r="Q10" s="677">
        <f>tertiair!P16</f>
        <v>0</v>
      </c>
      <c r="R10" s="679">
        <f ca="1">SUM(C10:Q10)</f>
        <v>33797.075428669574</v>
      </c>
      <c r="S10" s="68"/>
    </row>
    <row r="11" spans="1:19" s="445" customFormat="1">
      <c r="A11" s="791" t="s">
        <v>220</v>
      </c>
      <c r="B11" s="796"/>
      <c r="C11" s="676">
        <f>huishoudens!B8</f>
        <v>19450.287182919983</v>
      </c>
      <c r="D11" s="676">
        <f>huishoudens!C8</f>
        <v>0</v>
      </c>
      <c r="E11" s="676">
        <f>huishoudens!D8</f>
        <v>26337.886762000002</v>
      </c>
      <c r="F11" s="676">
        <f>huishoudens!E8</f>
        <v>1438.4994781650225</v>
      </c>
      <c r="G11" s="676">
        <f>huishoudens!F8</f>
        <v>43855.672699669602</v>
      </c>
      <c r="H11" s="676">
        <f>huishoudens!G8</f>
        <v>0</v>
      </c>
      <c r="I11" s="676">
        <f>huishoudens!H8</f>
        <v>0</v>
      </c>
      <c r="J11" s="676">
        <f>huishoudens!I8</f>
        <v>0</v>
      </c>
      <c r="K11" s="676">
        <f>huishoudens!J8</f>
        <v>795.74589980905739</v>
      </c>
      <c r="L11" s="676">
        <f>huishoudens!K8</f>
        <v>0</v>
      </c>
      <c r="M11" s="676">
        <f>huishoudens!L8</f>
        <v>0</v>
      </c>
      <c r="N11" s="676">
        <f>huishoudens!M8</f>
        <v>0</v>
      </c>
      <c r="O11" s="676">
        <f>huishoudens!N8</f>
        <v>6651.5974489796527</v>
      </c>
      <c r="P11" s="676">
        <f>huishoudens!O8</f>
        <v>23.45</v>
      </c>
      <c r="Q11" s="677">
        <f>huishoudens!P8</f>
        <v>190.66666666666669</v>
      </c>
      <c r="R11" s="679">
        <f>SUM(C11:Q11)</f>
        <v>98743.806138209984</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10779.483999999999</v>
      </c>
      <c r="D13" s="676">
        <f>industrie!C18</f>
        <v>0</v>
      </c>
      <c r="E13" s="676">
        <f>industrie!D18</f>
        <v>17174.392092000002</v>
      </c>
      <c r="F13" s="676">
        <f>industrie!E18</f>
        <v>113.70621280167968</v>
      </c>
      <c r="G13" s="676">
        <f>industrie!F18</f>
        <v>3487.7193247413602</v>
      </c>
      <c r="H13" s="676">
        <f>industrie!G18</f>
        <v>0</v>
      </c>
      <c r="I13" s="676">
        <f>industrie!H18</f>
        <v>0</v>
      </c>
      <c r="J13" s="676">
        <f>industrie!I18</f>
        <v>0</v>
      </c>
      <c r="K13" s="676">
        <f>industrie!J18</f>
        <v>9.9288105220324461</v>
      </c>
      <c r="L13" s="676">
        <f>industrie!K18</f>
        <v>0</v>
      </c>
      <c r="M13" s="676">
        <f>industrie!L18</f>
        <v>0</v>
      </c>
      <c r="N13" s="676">
        <f>industrie!M18</f>
        <v>0</v>
      </c>
      <c r="O13" s="676">
        <f>industrie!N18</f>
        <v>341.66516871743482</v>
      </c>
      <c r="P13" s="676">
        <f>industrie!O18</f>
        <v>0</v>
      </c>
      <c r="Q13" s="677">
        <f>industrie!P18</f>
        <v>0</v>
      </c>
      <c r="R13" s="679">
        <f>SUM(C13:Q13)</f>
        <v>31906.895608782506</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49913.904182919985</v>
      </c>
      <c r="D16" s="709">
        <f t="shared" ref="D16:R16" ca="1" si="0">SUM(D9:D15)</f>
        <v>0</v>
      </c>
      <c r="E16" s="709">
        <f t="shared" ca="1" si="0"/>
        <v>52873.737268000004</v>
      </c>
      <c r="F16" s="709">
        <f t="shared" si="0"/>
        <v>1691.1069586241642</v>
      </c>
      <c r="G16" s="709">
        <f t="shared" ca="1" si="0"/>
        <v>51069.723491250421</v>
      </c>
      <c r="H16" s="709">
        <f t="shared" si="0"/>
        <v>0</v>
      </c>
      <c r="I16" s="709">
        <f t="shared" si="0"/>
        <v>0</v>
      </c>
      <c r="J16" s="709">
        <f t="shared" si="0"/>
        <v>0</v>
      </c>
      <c r="K16" s="709">
        <f t="shared" si="0"/>
        <v>805.67471033108984</v>
      </c>
      <c r="L16" s="709">
        <f t="shared" si="0"/>
        <v>0</v>
      </c>
      <c r="M16" s="709">
        <f t="shared" ca="1" si="0"/>
        <v>0</v>
      </c>
      <c r="N16" s="709">
        <f t="shared" si="0"/>
        <v>0</v>
      </c>
      <c r="O16" s="709">
        <f t="shared" ca="1" si="0"/>
        <v>7879.5138978697332</v>
      </c>
      <c r="P16" s="709">
        <f t="shared" si="0"/>
        <v>23.45</v>
      </c>
      <c r="Q16" s="709">
        <f t="shared" si="0"/>
        <v>190.66666666666669</v>
      </c>
      <c r="R16" s="709">
        <f t="shared" ca="1" si="0"/>
        <v>164447.77717566208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6.5711477239960159</v>
      </c>
      <c r="D19" s="676">
        <f>transport!C54</f>
        <v>0</v>
      </c>
      <c r="E19" s="676">
        <f>transport!D54</f>
        <v>0</v>
      </c>
      <c r="F19" s="676">
        <f>transport!E54</f>
        <v>0</v>
      </c>
      <c r="G19" s="676">
        <f>transport!F54</f>
        <v>0</v>
      </c>
      <c r="H19" s="676">
        <f>transport!G54</f>
        <v>1310.6283689981542</v>
      </c>
      <c r="I19" s="676">
        <f>transport!H54</f>
        <v>0</v>
      </c>
      <c r="J19" s="676">
        <f>transport!I54</f>
        <v>0</v>
      </c>
      <c r="K19" s="676">
        <f>transport!J54</f>
        <v>0</v>
      </c>
      <c r="L19" s="676">
        <f>transport!K54</f>
        <v>0</v>
      </c>
      <c r="M19" s="676">
        <f>transport!L54</f>
        <v>0</v>
      </c>
      <c r="N19" s="676">
        <f>transport!M54</f>
        <v>57.928378012148677</v>
      </c>
      <c r="O19" s="676">
        <f>transport!N54</f>
        <v>0</v>
      </c>
      <c r="P19" s="676">
        <f>transport!O54</f>
        <v>0</v>
      </c>
      <c r="Q19" s="677">
        <f>transport!P54</f>
        <v>0</v>
      </c>
      <c r="R19" s="679">
        <f>SUM(C19:Q19)</f>
        <v>1375.1278947342989</v>
      </c>
      <c r="S19" s="68"/>
    </row>
    <row r="20" spans="1:19" s="445" customFormat="1">
      <c r="A20" s="791" t="s">
        <v>302</v>
      </c>
      <c r="B20" s="796"/>
      <c r="C20" s="676">
        <f>transport!B14</f>
        <v>3.5338753557630858</v>
      </c>
      <c r="D20" s="676">
        <f>transport!C14</f>
        <v>0</v>
      </c>
      <c r="E20" s="676">
        <f>transport!D14</f>
        <v>4.3989501211586335</v>
      </c>
      <c r="F20" s="676">
        <f>transport!E14</f>
        <v>281.40587163335579</v>
      </c>
      <c r="G20" s="676">
        <f>transport!F14</f>
        <v>0</v>
      </c>
      <c r="H20" s="676">
        <f>transport!G14</f>
        <v>67873.293352012144</v>
      </c>
      <c r="I20" s="676">
        <f>transport!H14</f>
        <v>10598.146193210896</v>
      </c>
      <c r="J20" s="676">
        <f>transport!I14</f>
        <v>0</v>
      </c>
      <c r="K20" s="676">
        <f>transport!J14</f>
        <v>0</v>
      </c>
      <c r="L20" s="676">
        <f>transport!K14</f>
        <v>0</v>
      </c>
      <c r="M20" s="676">
        <f>transport!L14</f>
        <v>0</v>
      </c>
      <c r="N20" s="676">
        <f>transport!M14</f>
        <v>3505.5187534020538</v>
      </c>
      <c r="O20" s="676">
        <f>transport!N14</f>
        <v>0</v>
      </c>
      <c r="P20" s="676">
        <f>transport!O14</f>
        <v>0</v>
      </c>
      <c r="Q20" s="677">
        <f>transport!P14</f>
        <v>0</v>
      </c>
      <c r="R20" s="679">
        <f>SUM(C20:Q20)</f>
        <v>82266.296995735363</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10.105023079759102</v>
      </c>
      <c r="D22" s="794">
        <f t="shared" ref="D22:R22" si="1">SUM(D18:D21)</f>
        <v>0</v>
      </c>
      <c r="E22" s="794">
        <f t="shared" si="1"/>
        <v>4.3989501211586335</v>
      </c>
      <c r="F22" s="794">
        <f t="shared" si="1"/>
        <v>281.40587163335579</v>
      </c>
      <c r="G22" s="794">
        <f t="shared" si="1"/>
        <v>0</v>
      </c>
      <c r="H22" s="794">
        <f t="shared" si="1"/>
        <v>69183.921721010294</v>
      </c>
      <c r="I22" s="794">
        <f t="shared" si="1"/>
        <v>10598.146193210896</v>
      </c>
      <c r="J22" s="794">
        <f t="shared" si="1"/>
        <v>0</v>
      </c>
      <c r="K22" s="794">
        <f t="shared" si="1"/>
        <v>0</v>
      </c>
      <c r="L22" s="794">
        <f t="shared" si="1"/>
        <v>0</v>
      </c>
      <c r="M22" s="794">
        <f t="shared" si="1"/>
        <v>0</v>
      </c>
      <c r="N22" s="794">
        <f t="shared" si="1"/>
        <v>3563.4471314142024</v>
      </c>
      <c r="O22" s="794">
        <f t="shared" si="1"/>
        <v>0</v>
      </c>
      <c r="P22" s="794">
        <f t="shared" si="1"/>
        <v>0</v>
      </c>
      <c r="Q22" s="794">
        <f t="shared" si="1"/>
        <v>0</v>
      </c>
      <c r="R22" s="794">
        <f t="shared" si="1"/>
        <v>83641.424890469658</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2974.87</v>
      </c>
      <c r="D24" s="676">
        <f>+landbouw!C8</f>
        <v>0</v>
      </c>
      <c r="E24" s="676">
        <f>+landbouw!D8</f>
        <v>801.89964800000007</v>
      </c>
      <c r="F24" s="676">
        <f>+landbouw!E8</f>
        <v>28.02526862828406</v>
      </c>
      <c r="G24" s="676">
        <f>+landbouw!F8</f>
        <v>9707.9880826474946</v>
      </c>
      <c r="H24" s="676">
        <f>+landbouw!G8</f>
        <v>0</v>
      </c>
      <c r="I24" s="676">
        <f>+landbouw!H8</f>
        <v>0</v>
      </c>
      <c r="J24" s="676">
        <f>+landbouw!I8</f>
        <v>0</v>
      </c>
      <c r="K24" s="676">
        <f>+landbouw!J8</f>
        <v>368.00588876490053</v>
      </c>
      <c r="L24" s="676">
        <f>+landbouw!K8</f>
        <v>0</v>
      </c>
      <c r="M24" s="676">
        <f>+landbouw!L8</f>
        <v>0</v>
      </c>
      <c r="N24" s="676">
        <f>+landbouw!M8</f>
        <v>0</v>
      </c>
      <c r="O24" s="676">
        <f>+landbouw!N8</f>
        <v>0</v>
      </c>
      <c r="P24" s="676">
        <f>+landbouw!O8</f>
        <v>0</v>
      </c>
      <c r="Q24" s="677">
        <f>+landbouw!P8</f>
        <v>0</v>
      </c>
      <c r="R24" s="679">
        <f>SUM(C24:Q24)</f>
        <v>13880.788888040681</v>
      </c>
      <c r="S24" s="68"/>
    </row>
    <row r="25" spans="1:19" s="445" customFormat="1" ht="15" thickBot="1">
      <c r="A25" s="813" t="s">
        <v>879</v>
      </c>
      <c r="B25" s="979"/>
      <c r="C25" s="980">
        <f>IF(Onbekend_ele_kWh="---",0,Onbekend_ele_kWh)/1000+IF(REST_rest_ele_kWh="---",0,REST_rest_ele_kWh)/1000</f>
        <v>554.63699999999994</v>
      </c>
      <c r="D25" s="980"/>
      <c r="E25" s="980">
        <f>IF(onbekend_gas_kWh="---",0,onbekend_gas_kWh)/1000+IF(REST_rest_gas_kWh="---",0,REST_rest_gas_kWh)/1000</f>
        <v>2263.2399999999998</v>
      </c>
      <c r="F25" s="980"/>
      <c r="G25" s="980"/>
      <c r="H25" s="980"/>
      <c r="I25" s="980"/>
      <c r="J25" s="980"/>
      <c r="K25" s="980"/>
      <c r="L25" s="980"/>
      <c r="M25" s="980"/>
      <c r="N25" s="980"/>
      <c r="O25" s="980"/>
      <c r="P25" s="980"/>
      <c r="Q25" s="981"/>
      <c r="R25" s="679">
        <f>SUM(C25:Q25)</f>
        <v>2817.8769999999995</v>
      </c>
      <c r="S25" s="68"/>
    </row>
    <row r="26" spans="1:19" s="445" customFormat="1" ht="15.75" thickBot="1">
      <c r="A26" s="682" t="s">
        <v>880</v>
      </c>
      <c r="B26" s="799"/>
      <c r="C26" s="794">
        <f>SUM(C24:C25)</f>
        <v>3529.5069999999996</v>
      </c>
      <c r="D26" s="794">
        <f t="shared" ref="D26:R26" si="2">SUM(D24:D25)</f>
        <v>0</v>
      </c>
      <c r="E26" s="794">
        <f t="shared" si="2"/>
        <v>3065.1396479999999</v>
      </c>
      <c r="F26" s="794">
        <f t="shared" si="2"/>
        <v>28.02526862828406</v>
      </c>
      <c r="G26" s="794">
        <f t="shared" si="2"/>
        <v>9707.9880826474946</v>
      </c>
      <c r="H26" s="794">
        <f t="shared" si="2"/>
        <v>0</v>
      </c>
      <c r="I26" s="794">
        <f t="shared" si="2"/>
        <v>0</v>
      </c>
      <c r="J26" s="794">
        <f t="shared" si="2"/>
        <v>0</v>
      </c>
      <c r="K26" s="794">
        <f t="shared" si="2"/>
        <v>368.00588876490053</v>
      </c>
      <c r="L26" s="794">
        <f t="shared" si="2"/>
        <v>0</v>
      </c>
      <c r="M26" s="794">
        <f t="shared" si="2"/>
        <v>0</v>
      </c>
      <c r="N26" s="794">
        <f t="shared" si="2"/>
        <v>0</v>
      </c>
      <c r="O26" s="794">
        <f t="shared" si="2"/>
        <v>0</v>
      </c>
      <c r="P26" s="794">
        <f t="shared" si="2"/>
        <v>0</v>
      </c>
      <c r="Q26" s="794">
        <f t="shared" si="2"/>
        <v>0</v>
      </c>
      <c r="R26" s="794">
        <f t="shared" si="2"/>
        <v>16698.665888040679</v>
      </c>
      <c r="S26" s="68"/>
    </row>
    <row r="27" spans="1:19" s="445" customFormat="1" ht="17.25" thickTop="1" thickBot="1">
      <c r="A27" s="683" t="s">
        <v>115</v>
      </c>
      <c r="B27" s="786"/>
      <c r="C27" s="684">
        <f ca="1">C22+C16+C26</f>
        <v>53453.516205999738</v>
      </c>
      <c r="D27" s="684">
        <f t="shared" ref="D27:R27" ca="1" si="3">D22+D16+D26</f>
        <v>0</v>
      </c>
      <c r="E27" s="684">
        <f t="shared" ca="1" si="3"/>
        <v>55943.275866121163</v>
      </c>
      <c r="F27" s="684">
        <f t="shared" si="3"/>
        <v>2000.5380988858039</v>
      </c>
      <c r="G27" s="684">
        <f t="shared" ca="1" si="3"/>
        <v>60777.711573897919</v>
      </c>
      <c r="H27" s="684">
        <f t="shared" si="3"/>
        <v>69183.921721010294</v>
      </c>
      <c r="I27" s="684">
        <f t="shared" si="3"/>
        <v>10598.146193210896</v>
      </c>
      <c r="J27" s="684">
        <f t="shared" si="3"/>
        <v>0</v>
      </c>
      <c r="K27" s="684">
        <f t="shared" si="3"/>
        <v>1173.6805990959904</v>
      </c>
      <c r="L27" s="684">
        <f t="shared" si="3"/>
        <v>0</v>
      </c>
      <c r="M27" s="684">
        <f t="shared" ca="1" si="3"/>
        <v>0</v>
      </c>
      <c r="N27" s="684">
        <f t="shared" si="3"/>
        <v>3563.4471314142024</v>
      </c>
      <c r="O27" s="684">
        <f t="shared" ca="1" si="3"/>
        <v>7879.5138978697332</v>
      </c>
      <c r="P27" s="684">
        <f t="shared" si="3"/>
        <v>23.45</v>
      </c>
      <c r="Q27" s="684">
        <f t="shared" si="3"/>
        <v>190.66666666666669</v>
      </c>
      <c r="R27" s="684">
        <f t="shared" ca="1" si="3"/>
        <v>264787.86795417243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3920.5574887094522</v>
      </c>
      <c r="D40" s="676">
        <f ca="1">tertiair!C20</f>
        <v>0</v>
      </c>
      <c r="E40" s="676">
        <f ca="1">tertiair!D20</f>
        <v>1891.0145996280003</v>
      </c>
      <c r="F40" s="676">
        <f>tertiair!E20</f>
        <v>31.530587758243914</v>
      </c>
      <c r="G40" s="676">
        <f ca="1">tertiair!F20</f>
        <v>994.93050164613555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6838.0331777418323</v>
      </c>
    </row>
    <row r="41" spans="1:18">
      <c r="A41" s="804" t="s">
        <v>220</v>
      </c>
      <c r="B41" s="811"/>
      <c r="C41" s="676">
        <f ca="1">huishoudens!B12</f>
        <v>3873.981600944599</v>
      </c>
      <c r="D41" s="676">
        <f ca="1">huishoudens!C12</f>
        <v>0</v>
      </c>
      <c r="E41" s="676">
        <f>huishoudens!D12</f>
        <v>5320.2531259240004</v>
      </c>
      <c r="F41" s="676">
        <f>huishoudens!E12</f>
        <v>326.53938154346014</v>
      </c>
      <c r="G41" s="676">
        <f>huishoudens!F12</f>
        <v>11709.464610811785</v>
      </c>
      <c r="H41" s="676">
        <f>huishoudens!G12</f>
        <v>0</v>
      </c>
      <c r="I41" s="676">
        <f>huishoudens!H12</f>
        <v>0</v>
      </c>
      <c r="J41" s="676">
        <f>huishoudens!I12</f>
        <v>0</v>
      </c>
      <c r="K41" s="676">
        <f>huishoudens!J12</f>
        <v>281.69404853240633</v>
      </c>
      <c r="L41" s="676">
        <f>huishoudens!K12</f>
        <v>0</v>
      </c>
      <c r="M41" s="676">
        <f>huishoudens!L12</f>
        <v>0</v>
      </c>
      <c r="N41" s="676">
        <f>huishoudens!M12</f>
        <v>0</v>
      </c>
      <c r="O41" s="676">
        <f>huishoudens!N12</f>
        <v>0</v>
      </c>
      <c r="P41" s="676">
        <f>huishoudens!O12</f>
        <v>0</v>
      </c>
      <c r="Q41" s="751">
        <f>huishoudens!P12</f>
        <v>0</v>
      </c>
      <c r="R41" s="832">
        <f t="shared" ca="1" si="4"/>
        <v>21511.932767756251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2146.9874604395181</v>
      </c>
      <c r="D43" s="676">
        <f ca="1">industrie!C22</f>
        <v>0</v>
      </c>
      <c r="E43" s="676">
        <f>industrie!D22</f>
        <v>3469.2272025840007</v>
      </c>
      <c r="F43" s="676">
        <f>industrie!E22</f>
        <v>25.811310305981291</v>
      </c>
      <c r="G43" s="676">
        <f>industrie!F22</f>
        <v>931.22105970594328</v>
      </c>
      <c r="H43" s="676">
        <f>industrie!G22</f>
        <v>0</v>
      </c>
      <c r="I43" s="676">
        <f>industrie!H22</f>
        <v>0</v>
      </c>
      <c r="J43" s="676">
        <f>industrie!I22</f>
        <v>0</v>
      </c>
      <c r="K43" s="676">
        <f>industrie!J22</f>
        <v>3.5147989247994857</v>
      </c>
      <c r="L43" s="676">
        <f>industrie!K22</f>
        <v>0</v>
      </c>
      <c r="M43" s="676">
        <f>industrie!L22</f>
        <v>0</v>
      </c>
      <c r="N43" s="676">
        <f>industrie!M22</f>
        <v>0</v>
      </c>
      <c r="O43" s="676">
        <f>industrie!N22</f>
        <v>0</v>
      </c>
      <c r="P43" s="676">
        <f>industrie!O22</f>
        <v>0</v>
      </c>
      <c r="Q43" s="751">
        <f>industrie!P22</f>
        <v>0</v>
      </c>
      <c r="R43" s="831">
        <f t="shared" ca="1" si="4"/>
        <v>6576.7618319602425</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9941.5265500935693</v>
      </c>
      <c r="D46" s="709">
        <f t="shared" ref="D46:Q46" ca="1" si="5">SUM(D39:D45)</f>
        <v>0</v>
      </c>
      <c r="E46" s="709">
        <f t="shared" ca="1" si="5"/>
        <v>10680.494928136002</v>
      </c>
      <c r="F46" s="709">
        <f t="shared" si="5"/>
        <v>383.88127960768537</v>
      </c>
      <c r="G46" s="709">
        <f t="shared" ca="1" si="5"/>
        <v>13635.616172163864</v>
      </c>
      <c r="H46" s="709">
        <f t="shared" si="5"/>
        <v>0</v>
      </c>
      <c r="I46" s="709">
        <f t="shared" si="5"/>
        <v>0</v>
      </c>
      <c r="J46" s="709">
        <f t="shared" si="5"/>
        <v>0</v>
      </c>
      <c r="K46" s="709">
        <f t="shared" si="5"/>
        <v>285.20884745720582</v>
      </c>
      <c r="L46" s="709">
        <f t="shared" si="5"/>
        <v>0</v>
      </c>
      <c r="M46" s="709">
        <f t="shared" ca="1" si="5"/>
        <v>0</v>
      </c>
      <c r="N46" s="709">
        <f t="shared" si="5"/>
        <v>0</v>
      </c>
      <c r="O46" s="709">
        <f t="shared" ca="1" si="5"/>
        <v>0</v>
      </c>
      <c r="P46" s="709">
        <f t="shared" si="5"/>
        <v>0</v>
      </c>
      <c r="Q46" s="709">
        <f t="shared" si="5"/>
        <v>0</v>
      </c>
      <c r="R46" s="709">
        <f ca="1">SUM(R39:R45)</f>
        <v>34926.727777458327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1.3087984326629296</v>
      </c>
      <c r="D49" s="676">
        <f ca="1">transport!C58</f>
        <v>0</v>
      </c>
      <c r="E49" s="676">
        <f>transport!D58</f>
        <v>0</v>
      </c>
      <c r="F49" s="676">
        <f>transport!E58</f>
        <v>0</v>
      </c>
      <c r="G49" s="676">
        <f>transport!F58</f>
        <v>0</v>
      </c>
      <c r="H49" s="676">
        <f>transport!G58</f>
        <v>349.9377745225072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351.24657295517011</v>
      </c>
    </row>
    <row r="50" spans="1:18">
      <c r="A50" s="807" t="s">
        <v>302</v>
      </c>
      <c r="B50" s="817"/>
      <c r="C50" s="986">
        <f ca="1">transport!B18</f>
        <v>0.70385429168776414</v>
      </c>
      <c r="D50" s="986">
        <f>transport!C18</f>
        <v>0</v>
      </c>
      <c r="E50" s="986">
        <f>transport!D18</f>
        <v>0.888587924474044</v>
      </c>
      <c r="F50" s="986">
        <f>transport!E18</f>
        <v>63.879132860771769</v>
      </c>
      <c r="G50" s="986">
        <f>transport!F18</f>
        <v>0</v>
      </c>
      <c r="H50" s="986">
        <f>transport!G18</f>
        <v>18122.169324987244</v>
      </c>
      <c r="I50" s="986">
        <f>transport!H18</f>
        <v>2638.9384021095129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20826.57930217369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2.0126527243506938</v>
      </c>
      <c r="D52" s="709">
        <f t="shared" ref="D52:Q52" ca="1" si="6">SUM(D48:D51)</f>
        <v>0</v>
      </c>
      <c r="E52" s="709">
        <f t="shared" si="6"/>
        <v>0.888587924474044</v>
      </c>
      <c r="F52" s="709">
        <f t="shared" si="6"/>
        <v>63.879132860771769</v>
      </c>
      <c r="G52" s="709">
        <f t="shared" si="6"/>
        <v>0</v>
      </c>
      <c r="H52" s="709">
        <f t="shared" si="6"/>
        <v>18472.107099509751</v>
      </c>
      <c r="I52" s="709">
        <f t="shared" si="6"/>
        <v>2638.9384021095129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21177.825875128859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592.51524344186691</v>
      </c>
      <c r="D54" s="986">
        <f ca="1">+landbouw!C12</f>
        <v>0</v>
      </c>
      <c r="E54" s="986">
        <f>+landbouw!D12</f>
        <v>161.98372889600003</v>
      </c>
      <c r="F54" s="986">
        <f>+landbouw!E12</f>
        <v>6.3617359786204819</v>
      </c>
      <c r="G54" s="986">
        <f>+landbouw!F12</f>
        <v>2592.0328180668812</v>
      </c>
      <c r="H54" s="986">
        <f>+landbouw!G12</f>
        <v>0</v>
      </c>
      <c r="I54" s="986">
        <f>+landbouw!H12</f>
        <v>0</v>
      </c>
      <c r="J54" s="986">
        <f>+landbouw!I12</f>
        <v>0</v>
      </c>
      <c r="K54" s="986">
        <f>+landbouw!J12</f>
        <v>130.27408462277478</v>
      </c>
      <c r="L54" s="986">
        <f>+landbouw!K12</f>
        <v>0</v>
      </c>
      <c r="M54" s="986">
        <f>+landbouw!L12</f>
        <v>0</v>
      </c>
      <c r="N54" s="986">
        <f>+landbouw!M12</f>
        <v>0</v>
      </c>
      <c r="O54" s="986">
        <f>+landbouw!N12</f>
        <v>0</v>
      </c>
      <c r="P54" s="986">
        <f>+landbouw!O12</f>
        <v>0</v>
      </c>
      <c r="Q54" s="987">
        <f>+landbouw!P12</f>
        <v>0</v>
      </c>
      <c r="R54" s="708">
        <f ca="1">SUM(C54:Q54)</f>
        <v>3483.1676110061435</v>
      </c>
    </row>
    <row r="55" spans="1:18" ht="15" thickBot="1">
      <c r="A55" s="807" t="s">
        <v>879</v>
      </c>
      <c r="B55" s="817"/>
      <c r="C55" s="986">
        <f ca="1">C25*'EF ele_warmte'!B12</f>
        <v>110.46898757823594</v>
      </c>
      <c r="D55" s="986"/>
      <c r="E55" s="986">
        <f>E25*EF_CO2_aardgas</f>
        <v>457.17447999999996</v>
      </c>
      <c r="F55" s="986"/>
      <c r="G55" s="986"/>
      <c r="H55" s="986"/>
      <c r="I55" s="986"/>
      <c r="J55" s="986"/>
      <c r="K55" s="986"/>
      <c r="L55" s="986"/>
      <c r="M55" s="986"/>
      <c r="N55" s="986"/>
      <c r="O55" s="986"/>
      <c r="P55" s="986"/>
      <c r="Q55" s="987"/>
      <c r="R55" s="708">
        <f ca="1">SUM(C55:Q55)</f>
        <v>567.64346757823591</v>
      </c>
    </row>
    <row r="56" spans="1:18" ht="15.75" thickBot="1">
      <c r="A56" s="805" t="s">
        <v>880</v>
      </c>
      <c r="B56" s="818"/>
      <c r="C56" s="709">
        <f ca="1">SUM(C54:C55)</f>
        <v>702.98423102010281</v>
      </c>
      <c r="D56" s="709">
        <f t="shared" ref="D56:Q56" ca="1" si="7">SUM(D54:D55)</f>
        <v>0</v>
      </c>
      <c r="E56" s="709">
        <f t="shared" si="7"/>
        <v>619.15820889600002</v>
      </c>
      <c r="F56" s="709">
        <f t="shared" si="7"/>
        <v>6.3617359786204819</v>
      </c>
      <c r="G56" s="709">
        <f t="shared" si="7"/>
        <v>2592.0328180668812</v>
      </c>
      <c r="H56" s="709">
        <f t="shared" si="7"/>
        <v>0</v>
      </c>
      <c r="I56" s="709">
        <f t="shared" si="7"/>
        <v>0</v>
      </c>
      <c r="J56" s="709">
        <f t="shared" si="7"/>
        <v>0</v>
      </c>
      <c r="K56" s="709">
        <f t="shared" si="7"/>
        <v>130.27408462277478</v>
      </c>
      <c r="L56" s="709">
        <f t="shared" si="7"/>
        <v>0</v>
      </c>
      <c r="M56" s="709">
        <f t="shared" si="7"/>
        <v>0</v>
      </c>
      <c r="N56" s="709">
        <f t="shared" si="7"/>
        <v>0</v>
      </c>
      <c r="O56" s="709">
        <f t="shared" si="7"/>
        <v>0</v>
      </c>
      <c r="P56" s="709">
        <f t="shared" si="7"/>
        <v>0</v>
      </c>
      <c r="Q56" s="710">
        <f t="shared" si="7"/>
        <v>0</v>
      </c>
      <c r="R56" s="711">
        <f ca="1">SUM(R54:R55)</f>
        <v>4050.8110785843792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10646.523433838021</v>
      </c>
      <c r="D61" s="717">
        <f t="shared" ref="D61:Q61" ca="1" si="8">D46+D52+D56</f>
        <v>0</v>
      </c>
      <c r="E61" s="717">
        <f t="shared" ca="1" si="8"/>
        <v>11300.541724956476</v>
      </c>
      <c r="F61" s="717">
        <f t="shared" si="8"/>
        <v>454.12214844707762</v>
      </c>
      <c r="G61" s="717">
        <f t="shared" ca="1" si="8"/>
        <v>16227.648990230744</v>
      </c>
      <c r="H61" s="717">
        <f t="shared" si="8"/>
        <v>18472.107099509751</v>
      </c>
      <c r="I61" s="717">
        <f t="shared" si="8"/>
        <v>2638.9384021095129</v>
      </c>
      <c r="J61" s="717">
        <f t="shared" si="8"/>
        <v>0</v>
      </c>
      <c r="K61" s="717">
        <f t="shared" si="8"/>
        <v>415.48293207998063</v>
      </c>
      <c r="L61" s="717">
        <f t="shared" si="8"/>
        <v>0</v>
      </c>
      <c r="M61" s="717">
        <f t="shared" ca="1" si="8"/>
        <v>0</v>
      </c>
      <c r="N61" s="717">
        <f t="shared" si="8"/>
        <v>0</v>
      </c>
      <c r="O61" s="717">
        <f t="shared" ca="1" si="8"/>
        <v>0</v>
      </c>
      <c r="P61" s="717">
        <f t="shared" si="8"/>
        <v>0</v>
      </c>
      <c r="Q61" s="717">
        <f t="shared" si="8"/>
        <v>0</v>
      </c>
      <c r="R61" s="717">
        <f ca="1">R46+R52+R56</f>
        <v>60155.364731171569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0.19917349109099455</v>
      </c>
      <c r="D63" s="761">
        <f t="shared" ca="1" si="9"/>
        <v>0</v>
      </c>
      <c r="E63" s="988">
        <f t="shared" ca="1" si="9"/>
        <v>0.20200000000000001</v>
      </c>
      <c r="F63" s="761">
        <f t="shared" si="9"/>
        <v>0.22700000000000006</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5279.2020257371996</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5279.2020257371996</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19450.287182919983</v>
      </c>
      <c r="C4" s="449">
        <f>huishoudens!C8</f>
        <v>0</v>
      </c>
      <c r="D4" s="449">
        <f>huishoudens!D8</f>
        <v>26337.886762000002</v>
      </c>
      <c r="E4" s="449">
        <f>huishoudens!E8</f>
        <v>1438.4994781650225</v>
      </c>
      <c r="F4" s="449">
        <f>huishoudens!F8</f>
        <v>43855.672699669602</v>
      </c>
      <c r="G4" s="449">
        <f>huishoudens!G8</f>
        <v>0</v>
      </c>
      <c r="H4" s="449">
        <f>huishoudens!H8</f>
        <v>0</v>
      </c>
      <c r="I4" s="449">
        <f>huishoudens!I8</f>
        <v>0</v>
      </c>
      <c r="J4" s="449">
        <f>huishoudens!J8</f>
        <v>795.74589980905739</v>
      </c>
      <c r="K4" s="449">
        <f>huishoudens!K8</f>
        <v>0</v>
      </c>
      <c r="L4" s="449">
        <f>huishoudens!L8</f>
        <v>0</v>
      </c>
      <c r="M4" s="449">
        <f>huishoudens!M8</f>
        <v>0</v>
      </c>
      <c r="N4" s="449">
        <f>huishoudens!N8</f>
        <v>6651.5974489796527</v>
      </c>
      <c r="O4" s="449">
        <f>huishoudens!O8</f>
        <v>23.45</v>
      </c>
      <c r="P4" s="450">
        <f>huishoudens!P8</f>
        <v>190.66666666666669</v>
      </c>
      <c r="Q4" s="451">
        <f>SUM(B4:P4)</f>
        <v>98743.806138209984</v>
      </c>
    </row>
    <row r="5" spans="1:17">
      <c r="A5" s="448" t="s">
        <v>155</v>
      </c>
      <c r="B5" s="449">
        <f ca="1">tertiair!B16</f>
        <v>19083.79</v>
      </c>
      <c r="C5" s="449">
        <f ca="1">tertiair!C16</f>
        <v>0</v>
      </c>
      <c r="D5" s="449">
        <f ca="1">tertiair!D16</f>
        <v>9361.4584140000006</v>
      </c>
      <c r="E5" s="449">
        <f>tertiair!E16</f>
        <v>138.90126765746217</v>
      </c>
      <c r="F5" s="449">
        <f ca="1">tertiair!F16</f>
        <v>3726.3314668394587</v>
      </c>
      <c r="G5" s="449">
        <f>tertiair!G16</f>
        <v>0</v>
      </c>
      <c r="H5" s="449">
        <f>tertiair!H16</f>
        <v>0</v>
      </c>
      <c r="I5" s="449">
        <f>tertiair!I16</f>
        <v>0</v>
      </c>
      <c r="J5" s="449">
        <f>tertiair!J16</f>
        <v>0</v>
      </c>
      <c r="K5" s="449">
        <f>tertiair!K16</f>
        <v>0</v>
      </c>
      <c r="L5" s="449">
        <f ca="1">tertiair!L16</f>
        <v>0</v>
      </c>
      <c r="M5" s="449">
        <f>tertiair!M16</f>
        <v>0</v>
      </c>
      <c r="N5" s="449">
        <f ca="1">tertiair!N16</f>
        <v>886.25128017264581</v>
      </c>
      <c r="O5" s="449">
        <f>tertiair!O16</f>
        <v>0</v>
      </c>
      <c r="P5" s="450">
        <f>tertiair!P16</f>
        <v>0</v>
      </c>
      <c r="Q5" s="448">
        <f t="shared" ref="Q5:Q14" ca="1" si="0">SUM(B5:P5)</f>
        <v>33196.732428669573</v>
      </c>
    </row>
    <row r="6" spans="1:17">
      <c r="A6" s="448" t="s">
        <v>193</v>
      </c>
      <c r="B6" s="449">
        <f>'openbare verlichting'!B8</f>
        <v>600.34299999999996</v>
      </c>
      <c r="C6" s="449"/>
      <c r="D6" s="449"/>
      <c r="E6" s="449"/>
      <c r="F6" s="449"/>
      <c r="G6" s="449"/>
      <c r="H6" s="449"/>
      <c r="I6" s="449"/>
      <c r="J6" s="449"/>
      <c r="K6" s="449"/>
      <c r="L6" s="449"/>
      <c r="M6" s="449"/>
      <c r="N6" s="449"/>
      <c r="O6" s="449"/>
      <c r="P6" s="450"/>
      <c r="Q6" s="448">
        <f t="shared" si="0"/>
        <v>600.34299999999996</v>
      </c>
    </row>
    <row r="7" spans="1:17">
      <c r="A7" s="448" t="s">
        <v>111</v>
      </c>
      <c r="B7" s="449">
        <f>landbouw!B8</f>
        <v>2974.87</v>
      </c>
      <c r="C7" s="449">
        <f>landbouw!C8</f>
        <v>0</v>
      </c>
      <c r="D7" s="449">
        <f>landbouw!D8</f>
        <v>801.89964800000007</v>
      </c>
      <c r="E7" s="449">
        <f>landbouw!E8</f>
        <v>28.02526862828406</v>
      </c>
      <c r="F7" s="449">
        <f>landbouw!F8</f>
        <v>9707.9880826474946</v>
      </c>
      <c r="G7" s="449">
        <f>landbouw!G8</f>
        <v>0</v>
      </c>
      <c r="H7" s="449">
        <f>landbouw!H8</f>
        <v>0</v>
      </c>
      <c r="I7" s="449">
        <f>landbouw!I8</f>
        <v>0</v>
      </c>
      <c r="J7" s="449">
        <f>landbouw!J8</f>
        <v>368.00588876490053</v>
      </c>
      <c r="K7" s="449">
        <f>landbouw!K8</f>
        <v>0</v>
      </c>
      <c r="L7" s="449">
        <f>landbouw!L8</f>
        <v>0</v>
      </c>
      <c r="M7" s="449">
        <f>landbouw!M8</f>
        <v>0</v>
      </c>
      <c r="N7" s="449">
        <f>landbouw!N8</f>
        <v>0</v>
      </c>
      <c r="O7" s="449">
        <f>landbouw!O8</f>
        <v>0</v>
      </c>
      <c r="P7" s="450">
        <f>landbouw!P8</f>
        <v>0</v>
      </c>
      <c r="Q7" s="448">
        <f t="shared" si="0"/>
        <v>13880.788888040681</v>
      </c>
    </row>
    <row r="8" spans="1:17">
      <c r="A8" s="448" t="s">
        <v>671</v>
      </c>
      <c r="B8" s="449">
        <f>industrie!B18</f>
        <v>10779.483999999999</v>
      </c>
      <c r="C8" s="449">
        <f>industrie!C18</f>
        <v>0</v>
      </c>
      <c r="D8" s="449">
        <f>industrie!D18</f>
        <v>17174.392092000002</v>
      </c>
      <c r="E8" s="449">
        <f>industrie!E18</f>
        <v>113.70621280167968</v>
      </c>
      <c r="F8" s="449">
        <f>industrie!F18</f>
        <v>3487.7193247413602</v>
      </c>
      <c r="G8" s="449">
        <f>industrie!G18</f>
        <v>0</v>
      </c>
      <c r="H8" s="449">
        <f>industrie!H18</f>
        <v>0</v>
      </c>
      <c r="I8" s="449">
        <f>industrie!I18</f>
        <v>0</v>
      </c>
      <c r="J8" s="449">
        <f>industrie!J18</f>
        <v>9.9288105220324461</v>
      </c>
      <c r="K8" s="449">
        <f>industrie!K18</f>
        <v>0</v>
      </c>
      <c r="L8" s="449">
        <f>industrie!L18</f>
        <v>0</v>
      </c>
      <c r="M8" s="449">
        <f>industrie!M18</f>
        <v>0</v>
      </c>
      <c r="N8" s="449">
        <f>industrie!N18</f>
        <v>341.66516871743482</v>
      </c>
      <c r="O8" s="449">
        <f>industrie!O18</f>
        <v>0</v>
      </c>
      <c r="P8" s="450">
        <f>industrie!P18</f>
        <v>0</v>
      </c>
      <c r="Q8" s="448">
        <f t="shared" si="0"/>
        <v>31906.895608782506</v>
      </c>
    </row>
    <row r="9" spans="1:17" s="454" customFormat="1">
      <c r="A9" s="452" t="s">
        <v>568</v>
      </c>
      <c r="B9" s="453">
        <f>transport!B14</f>
        <v>3.5338753557630858</v>
      </c>
      <c r="C9" s="453">
        <f>transport!C14</f>
        <v>0</v>
      </c>
      <c r="D9" s="453">
        <f>transport!D14</f>
        <v>4.3989501211586335</v>
      </c>
      <c r="E9" s="453">
        <f>transport!E14</f>
        <v>281.40587163335579</v>
      </c>
      <c r="F9" s="453">
        <f>transport!F14</f>
        <v>0</v>
      </c>
      <c r="G9" s="453">
        <f>transport!G14</f>
        <v>67873.293352012144</v>
      </c>
      <c r="H9" s="453">
        <f>transport!H14</f>
        <v>10598.146193210896</v>
      </c>
      <c r="I9" s="453">
        <f>transport!I14</f>
        <v>0</v>
      </c>
      <c r="J9" s="453">
        <f>transport!J14</f>
        <v>0</v>
      </c>
      <c r="K9" s="453">
        <f>transport!K14</f>
        <v>0</v>
      </c>
      <c r="L9" s="453">
        <f>transport!L14</f>
        <v>0</v>
      </c>
      <c r="M9" s="453">
        <f>transport!M14</f>
        <v>3505.5187534020538</v>
      </c>
      <c r="N9" s="453">
        <f>transport!N14</f>
        <v>0</v>
      </c>
      <c r="O9" s="453">
        <f>transport!O14</f>
        <v>0</v>
      </c>
      <c r="P9" s="453">
        <f>transport!P14</f>
        <v>0</v>
      </c>
      <c r="Q9" s="452">
        <f>SUM(B9:P9)</f>
        <v>82266.296995735363</v>
      </c>
    </row>
    <row r="10" spans="1:17">
      <c r="A10" s="448" t="s">
        <v>558</v>
      </c>
      <c r="B10" s="449">
        <f>transport!B54</f>
        <v>6.5711477239960159</v>
      </c>
      <c r="C10" s="449">
        <f>transport!C54</f>
        <v>0</v>
      </c>
      <c r="D10" s="449">
        <f>transport!D54</f>
        <v>0</v>
      </c>
      <c r="E10" s="449">
        <f>transport!E54</f>
        <v>0</v>
      </c>
      <c r="F10" s="449">
        <f>transport!F54</f>
        <v>0</v>
      </c>
      <c r="G10" s="449">
        <f>transport!G54</f>
        <v>1310.6283689981542</v>
      </c>
      <c r="H10" s="449">
        <f>transport!H54</f>
        <v>0</v>
      </c>
      <c r="I10" s="449">
        <f>transport!I54</f>
        <v>0</v>
      </c>
      <c r="J10" s="449">
        <f>transport!J54</f>
        <v>0</v>
      </c>
      <c r="K10" s="449">
        <f>transport!K54</f>
        <v>0</v>
      </c>
      <c r="L10" s="449">
        <f>transport!L54</f>
        <v>0</v>
      </c>
      <c r="M10" s="449">
        <f>transport!M54</f>
        <v>57.928378012148677</v>
      </c>
      <c r="N10" s="449">
        <f>transport!N54</f>
        <v>0</v>
      </c>
      <c r="O10" s="449">
        <f>transport!O54</f>
        <v>0</v>
      </c>
      <c r="P10" s="450">
        <f>transport!P54</f>
        <v>0</v>
      </c>
      <c r="Q10" s="448">
        <f t="shared" si="0"/>
        <v>1375.1278947342989</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554.63699999999994</v>
      </c>
      <c r="C14" s="456"/>
      <c r="D14" s="456">
        <f>'SEAP template'!E25</f>
        <v>2263.2399999999998</v>
      </c>
      <c r="E14" s="456"/>
      <c r="F14" s="456"/>
      <c r="G14" s="456"/>
      <c r="H14" s="456"/>
      <c r="I14" s="456"/>
      <c r="J14" s="456"/>
      <c r="K14" s="456"/>
      <c r="L14" s="456"/>
      <c r="M14" s="456"/>
      <c r="N14" s="456"/>
      <c r="O14" s="456"/>
      <c r="P14" s="457"/>
      <c r="Q14" s="448">
        <f t="shared" si="0"/>
        <v>2817.8769999999995</v>
      </c>
    </row>
    <row r="15" spans="1:17" s="461" customFormat="1">
      <c r="A15" s="458" t="s">
        <v>562</v>
      </c>
      <c r="B15" s="459">
        <f ca="1">SUM(B4:B14)</f>
        <v>53453.516205999746</v>
      </c>
      <c r="C15" s="459">
        <f t="shared" ref="C15:Q15" ca="1" si="1">SUM(C4:C14)</f>
        <v>0</v>
      </c>
      <c r="D15" s="459">
        <f t="shared" ca="1" si="1"/>
        <v>55943.275866121163</v>
      </c>
      <c r="E15" s="459">
        <f t="shared" si="1"/>
        <v>2000.5380988858042</v>
      </c>
      <c r="F15" s="459">
        <f t="shared" ca="1" si="1"/>
        <v>60777.711573897912</v>
      </c>
      <c r="G15" s="459">
        <f t="shared" si="1"/>
        <v>69183.921721010294</v>
      </c>
      <c r="H15" s="459">
        <f t="shared" si="1"/>
        <v>10598.146193210896</v>
      </c>
      <c r="I15" s="459">
        <f t="shared" si="1"/>
        <v>0</v>
      </c>
      <c r="J15" s="459">
        <f t="shared" si="1"/>
        <v>1173.6805990959904</v>
      </c>
      <c r="K15" s="459">
        <f t="shared" si="1"/>
        <v>0</v>
      </c>
      <c r="L15" s="459">
        <f t="shared" ca="1" si="1"/>
        <v>0</v>
      </c>
      <c r="M15" s="459">
        <f t="shared" si="1"/>
        <v>3563.4471314142024</v>
      </c>
      <c r="N15" s="459">
        <f t="shared" ca="1" si="1"/>
        <v>7879.5138978697332</v>
      </c>
      <c r="O15" s="459">
        <f t="shared" si="1"/>
        <v>23.45</v>
      </c>
      <c r="P15" s="459">
        <f t="shared" si="1"/>
        <v>190.66666666666669</v>
      </c>
      <c r="Q15" s="459">
        <f t="shared" ca="1" si="1"/>
        <v>264787.86795417237</v>
      </c>
    </row>
    <row r="17" spans="1:17">
      <c r="A17" s="462" t="s">
        <v>563</v>
      </c>
      <c r="B17" s="766">
        <f ca="1">huishoudens!B10</f>
        <v>0.19917349109099455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3873.981600944599</v>
      </c>
      <c r="C22" s="449">
        <f t="shared" ref="C22:C32" ca="1" si="3">C4*$C$17</f>
        <v>0</v>
      </c>
      <c r="D22" s="449">
        <f t="shared" ref="D22:D32" si="4">D4*$D$17</f>
        <v>5320.2531259240004</v>
      </c>
      <c r="E22" s="449">
        <f t="shared" ref="E22:E32" si="5">E4*$E$17</f>
        <v>326.53938154346014</v>
      </c>
      <c r="F22" s="449">
        <f t="shared" ref="F22:F32" si="6">F4*$F$17</f>
        <v>11709.464610811785</v>
      </c>
      <c r="G22" s="449">
        <f t="shared" ref="G22:G32" si="7">G4*$G$17</f>
        <v>0</v>
      </c>
      <c r="H22" s="449">
        <f t="shared" ref="H22:H32" si="8">H4*$H$17</f>
        <v>0</v>
      </c>
      <c r="I22" s="449">
        <f t="shared" ref="I22:I32" si="9">I4*$I$17</f>
        <v>0</v>
      </c>
      <c r="J22" s="449">
        <f t="shared" ref="J22:J32" si="10">J4*$J$17</f>
        <v>281.69404853240633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21511.932767756251</v>
      </c>
    </row>
    <row r="23" spans="1:17">
      <c r="A23" s="448" t="s">
        <v>155</v>
      </c>
      <c r="B23" s="449">
        <f t="shared" ca="1" si="2"/>
        <v>3800.985077547411</v>
      </c>
      <c r="C23" s="449">
        <f t="shared" ca="1" si="3"/>
        <v>0</v>
      </c>
      <c r="D23" s="449">
        <f t="shared" ca="1" si="4"/>
        <v>1891.0145996280003</v>
      </c>
      <c r="E23" s="449">
        <f t="shared" si="5"/>
        <v>31.530587758243914</v>
      </c>
      <c r="F23" s="449">
        <f t="shared" ca="1" si="6"/>
        <v>994.93050164613555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6718.4607665797912</v>
      </c>
    </row>
    <row r="24" spans="1:17">
      <c r="A24" s="448" t="s">
        <v>193</v>
      </c>
      <c r="B24" s="449">
        <f t="shared" ca="1" si="2"/>
        <v>119.57241116204094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119.57241116204094</v>
      </c>
    </row>
    <row r="25" spans="1:17">
      <c r="A25" s="448" t="s">
        <v>111</v>
      </c>
      <c r="B25" s="449">
        <f t="shared" ca="1" si="2"/>
        <v>592.51524344186691</v>
      </c>
      <c r="C25" s="449">
        <f t="shared" ca="1" si="3"/>
        <v>0</v>
      </c>
      <c r="D25" s="449">
        <f t="shared" si="4"/>
        <v>161.98372889600003</v>
      </c>
      <c r="E25" s="449">
        <f t="shared" si="5"/>
        <v>6.3617359786204819</v>
      </c>
      <c r="F25" s="449">
        <f t="shared" si="6"/>
        <v>2592.0328180668812</v>
      </c>
      <c r="G25" s="449">
        <f t="shared" si="7"/>
        <v>0</v>
      </c>
      <c r="H25" s="449">
        <f t="shared" si="8"/>
        <v>0</v>
      </c>
      <c r="I25" s="449">
        <f t="shared" si="9"/>
        <v>0</v>
      </c>
      <c r="J25" s="449">
        <f t="shared" si="10"/>
        <v>130.27408462277478</v>
      </c>
      <c r="K25" s="449">
        <f t="shared" si="11"/>
        <v>0</v>
      </c>
      <c r="L25" s="449">
        <f t="shared" si="12"/>
        <v>0</v>
      </c>
      <c r="M25" s="449">
        <f t="shared" si="13"/>
        <v>0</v>
      </c>
      <c r="N25" s="449">
        <f t="shared" si="14"/>
        <v>0</v>
      </c>
      <c r="O25" s="449">
        <f t="shared" si="15"/>
        <v>0</v>
      </c>
      <c r="P25" s="450">
        <f t="shared" si="16"/>
        <v>0</v>
      </c>
      <c r="Q25" s="448">
        <f t="shared" ca="1" si="17"/>
        <v>3483.1676110061435</v>
      </c>
    </row>
    <row r="26" spans="1:17">
      <c r="A26" s="448" t="s">
        <v>671</v>
      </c>
      <c r="B26" s="449">
        <f t="shared" ca="1" si="2"/>
        <v>2146.9874604395181</v>
      </c>
      <c r="C26" s="449">
        <f t="shared" ca="1" si="3"/>
        <v>0</v>
      </c>
      <c r="D26" s="449">
        <f t="shared" si="4"/>
        <v>3469.2272025840007</v>
      </c>
      <c r="E26" s="449">
        <f t="shared" si="5"/>
        <v>25.811310305981291</v>
      </c>
      <c r="F26" s="449">
        <f t="shared" si="6"/>
        <v>931.22105970594328</v>
      </c>
      <c r="G26" s="449">
        <f t="shared" si="7"/>
        <v>0</v>
      </c>
      <c r="H26" s="449">
        <f t="shared" si="8"/>
        <v>0</v>
      </c>
      <c r="I26" s="449">
        <f t="shared" si="9"/>
        <v>0</v>
      </c>
      <c r="J26" s="449">
        <f t="shared" si="10"/>
        <v>3.5147989247994857</v>
      </c>
      <c r="K26" s="449">
        <f t="shared" si="11"/>
        <v>0</v>
      </c>
      <c r="L26" s="449">
        <f t="shared" si="12"/>
        <v>0</v>
      </c>
      <c r="M26" s="449">
        <f t="shared" si="13"/>
        <v>0</v>
      </c>
      <c r="N26" s="449">
        <f t="shared" si="14"/>
        <v>0</v>
      </c>
      <c r="O26" s="449">
        <f t="shared" si="15"/>
        <v>0</v>
      </c>
      <c r="P26" s="450">
        <f t="shared" si="16"/>
        <v>0</v>
      </c>
      <c r="Q26" s="448">
        <f t="shared" ca="1" si="17"/>
        <v>6576.7618319602425</v>
      </c>
    </row>
    <row r="27" spans="1:17" s="454" customFormat="1">
      <c r="A27" s="452" t="s">
        <v>568</v>
      </c>
      <c r="B27" s="760">
        <f t="shared" ca="1" si="2"/>
        <v>0.70385429168776414</v>
      </c>
      <c r="C27" s="453">
        <f t="shared" ca="1" si="3"/>
        <v>0</v>
      </c>
      <c r="D27" s="453">
        <f t="shared" si="4"/>
        <v>0.888587924474044</v>
      </c>
      <c r="E27" s="453">
        <f t="shared" si="5"/>
        <v>63.879132860771769</v>
      </c>
      <c r="F27" s="453">
        <f t="shared" si="6"/>
        <v>0</v>
      </c>
      <c r="G27" s="453">
        <f t="shared" si="7"/>
        <v>18122.169324987244</v>
      </c>
      <c r="H27" s="453">
        <f t="shared" si="8"/>
        <v>2638.9384021095129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20826.57930217369</v>
      </c>
    </row>
    <row r="28" spans="1:17">
      <c r="A28" s="448" t="s">
        <v>558</v>
      </c>
      <c r="B28" s="449">
        <f t="shared" ca="1" si="2"/>
        <v>1.3087984326629296</v>
      </c>
      <c r="C28" s="449">
        <f t="shared" ca="1" si="3"/>
        <v>0</v>
      </c>
      <c r="D28" s="449">
        <f t="shared" si="4"/>
        <v>0</v>
      </c>
      <c r="E28" s="449">
        <f t="shared" si="5"/>
        <v>0</v>
      </c>
      <c r="F28" s="449">
        <f t="shared" si="6"/>
        <v>0</v>
      </c>
      <c r="G28" s="449">
        <f t="shared" si="7"/>
        <v>349.9377745225072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351.24657295517011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110.46898757823594</v>
      </c>
      <c r="C32" s="449">
        <f t="shared" ca="1" si="3"/>
        <v>0</v>
      </c>
      <c r="D32" s="449">
        <f t="shared" si="4"/>
        <v>457.17447999999996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567.64346757823591</v>
      </c>
    </row>
    <row r="33" spans="1:17" s="461" customFormat="1">
      <c r="A33" s="458" t="s">
        <v>562</v>
      </c>
      <c r="B33" s="459">
        <f ca="1">SUM(B22:B32)</f>
        <v>10646.523433838023</v>
      </c>
      <c r="C33" s="459">
        <f t="shared" ref="C33:Q33" ca="1" si="18">SUM(C22:C32)</f>
        <v>0</v>
      </c>
      <c r="D33" s="459">
        <f t="shared" ca="1" si="18"/>
        <v>11300.541724956474</v>
      </c>
      <c r="E33" s="459">
        <f t="shared" si="18"/>
        <v>454.12214844707762</v>
      </c>
      <c r="F33" s="459">
        <f t="shared" ca="1" si="18"/>
        <v>16227.648990230746</v>
      </c>
      <c r="G33" s="459">
        <f t="shared" si="18"/>
        <v>18472.107099509751</v>
      </c>
      <c r="H33" s="459">
        <f t="shared" si="18"/>
        <v>2638.9384021095129</v>
      </c>
      <c r="I33" s="459">
        <f t="shared" si="18"/>
        <v>0</v>
      </c>
      <c r="J33" s="459">
        <f t="shared" si="18"/>
        <v>415.48293207998063</v>
      </c>
      <c r="K33" s="459">
        <f t="shared" si="18"/>
        <v>0</v>
      </c>
      <c r="L33" s="459">
        <f t="shared" ca="1" si="18"/>
        <v>0</v>
      </c>
      <c r="M33" s="459">
        <f t="shared" si="18"/>
        <v>0</v>
      </c>
      <c r="N33" s="459">
        <f t="shared" ca="1" si="18"/>
        <v>0</v>
      </c>
      <c r="O33" s="459">
        <f t="shared" si="18"/>
        <v>0</v>
      </c>
      <c r="P33" s="459">
        <f t="shared" si="18"/>
        <v>0</v>
      </c>
      <c r="Q33" s="459">
        <f t="shared" ca="1" si="18"/>
        <v>60155.364731171561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5279.2020257371996</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5279.2020257371996</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0.19917349109099455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0.19917349109099455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0.19917349109099455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0.19917349109099455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4328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3370</v>
      </c>
      <c r="C14" s="327"/>
      <c r="D14" s="327"/>
      <c r="E14" s="327"/>
      <c r="F14" s="327"/>
    </row>
    <row r="15" spans="1:6">
      <c r="A15" s="1295" t="s">
        <v>183</v>
      </c>
      <c r="B15" s="1296">
        <v>6</v>
      </c>
      <c r="C15" s="327"/>
      <c r="D15" s="327"/>
      <c r="E15" s="327"/>
      <c r="F15" s="327"/>
    </row>
    <row r="16" spans="1:6">
      <c r="A16" s="1295" t="s">
        <v>6</v>
      </c>
      <c r="B16" s="1296">
        <v>242</v>
      </c>
      <c r="C16" s="327"/>
      <c r="D16" s="327"/>
      <c r="E16" s="327"/>
      <c r="F16" s="327"/>
    </row>
    <row r="17" spans="1:6">
      <c r="A17" s="1295" t="s">
        <v>7</v>
      </c>
      <c r="B17" s="1296">
        <v>740</v>
      </c>
      <c r="C17" s="327"/>
      <c r="D17" s="327"/>
      <c r="E17" s="327"/>
      <c r="F17" s="327"/>
    </row>
    <row r="18" spans="1:6">
      <c r="A18" s="1295" t="s">
        <v>8</v>
      </c>
      <c r="B18" s="1296">
        <v>744</v>
      </c>
      <c r="C18" s="327"/>
      <c r="D18" s="327"/>
      <c r="E18" s="327"/>
      <c r="F18" s="327"/>
    </row>
    <row r="19" spans="1:6">
      <c r="A19" s="1295" t="s">
        <v>9</v>
      </c>
      <c r="B19" s="1296">
        <v>609</v>
      </c>
      <c r="C19" s="327"/>
      <c r="D19" s="327"/>
      <c r="E19" s="327"/>
      <c r="F19" s="327"/>
    </row>
    <row r="20" spans="1:6">
      <c r="A20" s="1295" t="s">
        <v>10</v>
      </c>
      <c r="B20" s="1296">
        <v>472</v>
      </c>
      <c r="C20" s="327"/>
      <c r="D20" s="327"/>
      <c r="E20" s="327"/>
      <c r="F20" s="327"/>
    </row>
    <row r="21" spans="1:6">
      <c r="A21" s="1295" t="s">
        <v>11</v>
      </c>
      <c r="B21" s="1296">
        <v>3491</v>
      </c>
      <c r="C21" s="327"/>
      <c r="D21" s="327"/>
      <c r="E21" s="327"/>
      <c r="F21" s="327"/>
    </row>
    <row r="22" spans="1:6">
      <c r="A22" s="1295" t="s">
        <v>12</v>
      </c>
      <c r="B22" s="1296">
        <v>7710</v>
      </c>
      <c r="C22" s="327"/>
      <c r="D22" s="327"/>
      <c r="E22" s="327"/>
      <c r="F22" s="327"/>
    </row>
    <row r="23" spans="1:6">
      <c r="A23" s="1295" t="s">
        <v>13</v>
      </c>
      <c r="B23" s="1296">
        <v>226</v>
      </c>
      <c r="C23" s="327"/>
      <c r="D23" s="327"/>
      <c r="E23" s="327"/>
      <c r="F23" s="327"/>
    </row>
    <row r="24" spans="1:6">
      <c r="A24" s="1295" t="s">
        <v>14</v>
      </c>
      <c r="B24" s="1296">
        <v>8</v>
      </c>
      <c r="C24" s="327"/>
      <c r="D24" s="327"/>
      <c r="E24" s="327"/>
      <c r="F24" s="327"/>
    </row>
    <row r="25" spans="1:6">
      <c r="A25" s="1295" t="s">
        <v>15</v>
      </c>
      <c r="B25" s="1296">
        <v>1000</v>
      </c>
      <c r="C25" s="327"/>
      <c r="D25" s="327"/>
      <c r="E25" s="327"/>
      <c r="F25" s="327"/>
    </row>
    <row r="26" spans="1:6">
      <c r="A26" s="1295" t="s">
        <v>16</v>
      </c>
      <c r="B26" s="1296">
        <v>91</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54</v>
      </c>
      <c r="C29" s="333"/>
      <c r="D29" s="333"/>
      <c r="E29" s="333"/>
      <c r="F29" s="333"/>
    </row>
    <row r="30" spans="1:6">
      <c r="A30" s="1290" t="s">
        <v>962</v>
      </c>
      <c r="B30" s="1299">
        <v>7</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5</v>
      </c>
      <c r="F36" s="1296">
        <v>7325</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1634</v>
      </c>
      <c r="D39" s="1296">
        <v>29199431</v>
      </c>
      <c r="E39" s="1296">
        <v>4315</v>
      </c>
      <c r="F39" s="1296">
        <v>17202567</v>
      </c>
    </row>
    <row r="40" spans="1:6">
      <c r="A40" s="1295" t="s">
        <v>29</v>
      </c>
      <c r="B40" s="1295" t="s">
        <v>28</v>
      </c>
      <c r="C40" s="1296">
        <v>0</v>
      </c>
      <c r="D40" s="1296">
        <v>0</v>
      </c>
      <c r="E40" s="1296">
        <v>0</v>
      </c>
      <c r="F40" s="1296">
        <v>0</v>
      </c>
    </row>
    <row r="41" spans="1:6">
      <c r="A41" s="1295" t="s">
        <v>31</v>
      </c>
      <c r="B41" s="1295" t="s">
        <v>32</v>
      </c>
      <c r="C41" s="1296">
        <v>22</v>
      </c>
      <c r="D41" s="1296">
        <v>985242</v>
      </c>
      <c r="E41" s="1296">
        <v>74</v>
      </c>
      <c r="F41" s="1296">
        <v>3040345</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7</v>
      </c>
      <c r="F44" s="1296">
        <v>85043</v>
      </c>
    </row>
    <row r="45" spans="1:6">
      <c r="A45" s="1295" t="s">
        <v>31</v>
      </c>
      <c r="B45" s="1295" t="s">
        <v>36</v>
      </c>
      <c r="C45" s="1296">
        <v>0</v>
      </c>
      <c r="D45" s="1296">
        <v>0</v>
      </c>
      <c r="E45" s="1296">
        <v>8</v>
      </c>
      <c r="F45" s="1296">
        <v>1227755</v>
      </c>
    </row>
    <row r="46" spans="1:6">
      <c r="A46" s="1295" t="s">
        <v>31</v>
      </c>
      <c r="B46" s="1295" t="s">
        <v>37</v>
      </c>
      <c r="C46" s="1296">
        <v>0</v>
      </c>
      <c r="D46" s="1296">
        <v>0</v>
      </c>
      <c r="E46" s="1296">
        <v>0</v>
      </c>
      <c r="F46" s="1296">
        <v>0</v>
      </c>
    </row>
    <row r="47" spans="1:6">
      <c r="A47" s="1295" t="s">
        <v>31</v>
      </c>
      <c r="B47" s="1295" t="s">
        <v>38</v>
      </c>
      <c r="C47" s="1296">
        <v>0</v>
      </c>
      <c r="D47" s="1296">
        <v>0</v>
      </c>
      <c r="E47" s="1296">
        <v>4</v>
      </c>
      <c r="F47" s="1296">
        <v>43900</v>
      </c>
    </row>
    <row r="48" spans="1:6">
      <c r="A48" s="1295" t="s">
        <v>31</v>
      </c>
      <c r="B48" s="1295" t="s">
        <v>28</v>
      </c>
      <c r="C48" s="1296">
        <v>2</v>
      </c>
      <c r="D48" s="1296">
        <v>27592</v>
      </c>
      <c r="E48" s="1296">
        <v>2</v>
      </c>
      <c r="F48" s="1296">
        <v>22518</v>
      </c>
    </row>
    <row r="49" spans="1:6">
      <c r="A49" s="1295" t="s">
        <v>31</v>
      </c>
      <c r="B49" s="1295" t="s">
        <v>39</v>
      </c>
      <c r="C49" s="1296">
        <v>0</v>
      </c>
      <c r="D49" s="1296">
        <v>0</v>
      </c>
      <c r="E49" s="1296">
        <v>0</v>
      </c>
      <c r="F49" s="1296">
        <v>0</v>
      </c>
    </row>
    <row r="50" spans="1:6">
      <c r="A50" s="1295" t="s">
        <v>31</v>
      </c>
      <c r="B50" s="1295" t="s">
        <v>40</v>
      </c>
      <c r="C50" s="1296">
        <v>4</v>
      </c>
      <c r="D50" s="1296">
        <v>18027512</v>
      </c>
      <c r="E50" s="1296">
        <v>11</v>
      </c>
      <c r="F50" s="1296">
        <v>6359923</v>
      </c>
    </row>
    <row r="51" spans="1:6">
      <c r="A51" s="1295" t="s">
        <v>41</v>
      </c>
      <c r="B51" s="1295" t="s">
        <v>42</v>
      </c>
      <c r="C51" s="1296">
        <v>9</v>
      </c>
      <c r="D51" s="1296">
        <v>889024</v>
      </c>
      <c r="E51" s="1296">
        <v>120</v>
      </c>
      <c r="F51" s="1296">
        <v>2974870</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56</v>
      </c>
      <c r="F54" s="1296">
        <v>600343</v>
      </c>
    </row>
    <row r="55" spans="1:6">
      <c r="A55" s="1295" t="s">
        <v>45</v>
      </c>
      <c r="B55" s="1295" t="s">
        <v>28</v>
      </c>
      <c r="C55" s="1296">
        <v>0</v>
      </c>
      <c r="D55" s="1296">
        <v>0</v>
      </c>
      <c r="E55" s="1296">
        <v>0</v>
      </c>
      <c r="F55" s="1296">
        <v>0</v>
      </c>
    </row>
    <row r="56" spans="1:6">
      <c r="A56" s="1295" t="s">
        <v>47</v>
      </c>
      <c r="B56" s="1295" t="s">
        <v>28</v>
      </c>
      <c r="C56" s="1296">
        <v>34</v>
      </c>
      <c r="D56" s="1296">
        <v>2263240</v>
      </c>
      <c r="E56" s="1296">
        <v>74</v>
      </c>
      <c r="F56" s="1296">
        <v>554637</v>
      </c>
    </row>
    <row r="57" spans="1:6">
      <c r="A57" s="1295" t="s">
        <v>48</v>
      </c>
      <c r="B57" s="1295" t="s">
        <v>49</v>
      </c>
      <c r="C57" s="1296">
        <v>22</v>
      </c>
      <c r="D57" s="1296">
        <v>1322243</v>
      </c>
      <c r="E57" s="1296">
        <v>82</v>
      </c>
      <c r="F57" s="1296">
        <v>1437994</v>
      </c>
    </row>
    <row r="58" spans="1:6">
      <c r="A58" s="1295" t="s">
        <v>48</v>
      </c>
      <c r="B58" s="1295" t="s">
        <v>50</v>
      </c>
      <c r="C58" s="1296">
        <v>13</v>
      </c>
      <c r="D58" s="1296">
        <v>1512285</v>
      </c>
      <c r="E58" s="1296">
        <v>29</v>
      </c>
      <c r="F58" s="1296">
        <v>580104</v>
      </c>
    </row>
    <row r="59" spans="1:6">
      <c r="A59" s="1295" t="s">
        <v>48</v>
      </c>
      <c r="B59" s="1295" t="s">
        <v>51</v>
      </c>
      <c r="C59" s="1296">
        <v>37</v>
      </c>
      <c r="D59" s="1296">
        <v>1847387</v>
      </c>
      <c r="E59" s="1296">
        <v>113</v>
      </c>
      <c r="F59" s="1296">
        <v>9891816</v>
      </c>
    </row>
    <row r="60" spans="1:6">
      <c r="A60" s="1295" t="s">
        <v>48</v>
      </c>
      <c r="B60" s="1295" t="s">
        <v>52</v>
      </c>
      <c r="C60" s="1296">
        <v>28</v>
      </c>
      <c r="D60" s="1296">
        <v>2129067</v>
      </c>
      <c r="E60" s="1296">
        <v>42</v>
      </c>
      <c r="F60" s="1296">
        <v>1232266</v>
      </c>
    </row>
    <row r="61" spans="1:6">
      <c r="A61" s="1295" t="s">
        <v>48</v>
      </c>
      <c r="B61" s="1295" t="s">
        <v>53</v>
      </c>
      <c r="C61" s="1296">
        <v>73</v>
      </c>
      <c r="D61" s="1296">
        <v>3205033</v>
      </c>
      <c r="E61" s="1296">
        <v>217</v>
      </c>
      <c r="F61" s="1296">
        <v>5547824</v>
      </c>
    </row>
    <row r="62" spans="1:6">
      <c r="A62" s="1295" t="s">
        <v>48</v>
      </c>
      <c r="B62" s="1295" t="s">
        <v>54</v>
      </c>
      <c r="C62" s="1296">
        <v>0</v>
      </c>
      <c r="D62" s="1296">
        <v>0</v>
      </c>
      <c r="E62" s="1296">
        <v>8</v>
      </c>
      <c r="F62" s="1296">
        <v>393786</v>
      </c>
    </row>
    <row r="63" spans="1:6">
      <c r="A63" s="1295" t="s">
        <v>48</v>
      </c>
      <c r="B63" s="1295" t="s">
        <v>28</v>
      </c>
      <c r="C63" s="1296">
        <v>2</v>
      </c>
      <c r="D63" s="1296">
        <v>362542</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4</v>
      </c>
      <c r="D68" s="1299">
        <v>62957</v>
      </c>
      <c r="E68" s="1299">
        <v>8</v>
      </c>
      <c r="F68" s="1299">
        <v>156660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71092977</v>
      </c>
      <c r="E73" s="447"/>
      <c r="F73" s="327"/>
    </row>
    <row r="74" spans="1:6">
      <c r="A74" s="1295" t="s">
        <v>63</v>
      </c>
      <c r="B74" s="1295" t="s">
        <v>755</v>
      </c>
      <c r="C74" s="1309" t="s">
        <v>749</v>
      </c>
      <c r="D74" s="1310">
        <v>8433735.8547395933</v>
      </c>
      <c r="E74" s="447"/>
      <c r="F74" s="327"/>
    </row>
    <row r="75" spans="1:6">
      <c r="A75" s="1295" t="s">
        <v>64</v>
      </c>
      <c r="B75" s="1295" t="s">
        <v>754</v>
      </c>
      <c r="C75" s="1309" t="s">
        <v>750</v>
      </c>
      <c r="D75" s="1310">
        <v>15100462</v>
      </c>
      <c r="E75" s="447"/>
      <c r="F75" s="327"/>
    </row>
    <row r="76" spans="1:6">
      <c r="A76" s="1295" t="s">
        <v>64</v>
      </c>
      <c r="B76" s="1295" t="s">
        <v>755</v>
      </c>
      <c r="C76" s="1309" t="s">
        <v>751</v>
      </c>
      <c r="D76" s="1310">
        <v>562937.85473959276</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362024.29052081448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2247.7201829199848</v>
      </c>
      <c r="C91" s="327"/>
      <c r="D91" s="327"/>
      <c r="E91" s="327"/>
      <c r="F91" s="327"/>
    </row>
    <row r="92" spans="1:6">
      <c r="A92" s="1290" t="s">
        <v>68</v>
      </c>
      <c r="B92" s="1291">
        <v>3031.4818428172148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639</v>
      </c>
      <c r="C97" s="327"/>
      <c r="D97" s="327"/>
      <c r="E97" s="327"/>
      <c r="F97" s="327"/>
    </row>
    <row r="98" spans="1:6">
      <c r="A98" s="1295" t="s">
        <v>71</v>
      </c>
      <c r="B98" s="1296">
        <v>2</v>
      </c>
      <c r="C98" s="327"/>
      <c r="D98" s="327"/>
      <c r="E98" s="327"/>
      <c r="F98" s="327"/>
    </row>
    <row r="99" spans="1:6">
      <c r="A99" s="1295" t="s">
        <v>72</v>
      </c>
      <c r="B99" s="1296">
        <v>37</v>
      </c>
      <c r="C99" s="327"/>
      <c r="D99" s="327"/>
      <c r="E99" s="327"/>
      <c r="F99" s="327"/>
    </row>
    <row r="100" spans="1:6">
      <c r="A100" s="1295" t="s">
        <v>73</v>
      </c>
      <c r="B100" s="1296">
        <v>82</v>
      </c>
      <c r="C100" s="327"/>
      <c r="D100" s="327"/>
      <c r="E100" s="327"/>
      <c r="F100" s="327"/>
    </row>
    <row r="101" spans="1:6">
      <c r="A101" s="1295" t="s">
        <v>74</v>
      </c>
      <c r="B101" s="1296">
        <v>36</v>
      </c>
      <c r="C101" s="327"/>
      <c r="D101" s="327"/>
      <c r="E101" s="327"/>
      <c r="F101" s="327"/>
    </row>
    <row r="102" spans="1:6">
      <c r="A102" s="1295" t="s">
        <v>75</v>
      </c>
      <c r="B102" s="1296">
        <v>43</v>
      </c>
      <c r="C102" s="327"/>
      <c r="D102" s="327"/>
      <c r="E102" s="327"/>
      <c r="F102" s="327"/>
    </row>
    <row r="103" spans="1:6">
      <c r="A103" s="1295" t="s">
        <v>76</v>
      </c>
      <c r="B103" s="1296">
        <v>138</v>
      </c>
      <c r="C103" s="327"/>
      <c r="D103" s="327"/>
      <c r="E103" s="327"/>
      <c r="F103" s="327"/>
    </row>
    <row r="104" spans="1:6">
      <c r="A104" s="1295" t="s">
        <v>77</v>
      </c>
      <c r="B104" s="1296">
        <v>2871</v>
      </c>
      <c r="C104" s="327"/>
      <c r="D104" s="327"/>
      <c r="E104" s="327"/>
      <c r="F104" s="327"/>
    </row>
    <row r="105" spans="1:6">
      <c r="A105" s="1290"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7</v>
      </c>
      <c r="C123" s="1296">
        <v>3</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12</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53453.516205999738</v>
      </c>
      <c r="C3" s="44" t="s">
        <v>169</v>
      </c>
      <c r="D3" s="44"/>
      <c r="E3" s="157"/>
      <c r="F3" s="44"/>
      <c r="G3" s="44"/>
      <c r="H3" s="44"/>
      <c r="I3" s="44"/>
      <c r="J3" s="44"/>
      <c r="K3" s="97"/>
    </row>
    <row r="4" spans="1:11">
      <c r="A4" s="354" t="s">
        <v>170</v>
      </c>
      <c r="B4" s="50">
        <f>IF(ISERROR('SEAP template'!B78+'SEAP template'!C78),0,'SEAP template'!B78+'SEAP template'!C78)</f>
        <v>5279.2020257371996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0.19917349109099455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600.34299999999996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600.34299999999996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0.19917349109099455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119.57241116204094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17202.566999999999</v>
      </c>
      <c r="C5" s="18">
        <f>IF(ISERROR('Eigen informatie GS &amp; warmtenet'!B57),0,'Eigen informatie GS &amp; warmtenet'!B57)</f>
        <v>0</v>
      </c>
      <c r="D5" s="31">
        <f>(SUM(HH_hh_gas_kWh,HH_rest_gas_kWh)/1000)*0.902</f>
        <v>26337.886762000002</v>
      </c>
      <c r="E5" s="18">
        <f>B32*B41</f>
        <v>1438.4994781650225</v>
      </c>
      <c r="F5" s="18">
        <f>B36*B45</f>
        <v>43855.672699669602</v>
      </c>
      <c r="G5" s="19"/>
      <c r="H5" s="18"/>
      <c r="I5" s="18"/>
      <c r="J5" s="18">
        <f>B35*B44+C35*C44</f>
        <v>795.74589980905739</v>
      </c>
      <c r="K5" s="18"/>
      <c r="L5" s="18"/>
      <c r="M5" s="18"/>
      <c r="N5" s="18">
        <f>B34*B43+C34*C43</f>
        <v>6651.5974489796527</v>
      </c>
      <c r="O5" s="18">
        <f>B52*B53*B54</f>
        <v>23.45</v>
      </c>
      <c r="P5" s="18">
        <f>B60*B61*B62/1000-B60*B61*B62/1000/B63</f>
        <v>190.66666666666669</v>
      </c>
    </row>
    <row r="6" spans="1:16">
      <c r="A6" s="17" t="s">
        <v>628</v>
      </c>
      <c r="B6" s="768">
        <f>kWh_PV_kleiner_dan_10kW</f>
        <v>2247.7201829199848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19450.287182919983</v>
      </c>
      <c r="C8" s="22">
        <f>C5</f>
        <v>0</v>
      </c>
      <c r="D8" s="22">
        <f>D5</f>
        <v>26337.886762000002</v>
      </c>
      <c r="E8" s="22">
        <f>E5</f>
        <v>1438.4994781650225</v>
      </c>
      <c r="F8" s="22">
        <f>F5</f>
        <v>43855.672699669602</v>
      </c>
      <c r="G8" s="22"/>
      <c r="H8" s="22"/>
      <c r="I8" s="22"/>
      <c r="J8" s="22">
        <f>J5</f>
        <v>795.74589980905739</v>
      </c>
      <c r="K8" s="22"/>
      <c r="L8" s="22">
        <f>L5</f>
        <v>0</v>
      </c>
      <c r="M8" s="22">
        <f>M5</f>
        <v>0</v>
      </c>
      <c r="N8" s="22">
        <f>N5</f>
        <v>6651.5974489796527</v>
      </c>
      <c r="O8" s="22">
        <f>O5</f>
        <v>23.45</v>
      </c>
      <c r="P8" s="22">
        <f>P5</f>
        <v>190.66666666666669</v>
      </c>
    </row>
    <row r="9" spans="1:16">
      <c r="B9" s="20"/>
      <c r="C9" s="20"/>
      <c r="D9" s="258"/>
      <c r="E9" s="20"/>
      <c r="F9" s="20"/>
      <c r="G9" s="20"/>
      <c r="H9" s="20"/>
      <c r="I9" s="20"/>
      <c r="J9" s="20"/>
      <c r="K9" s="20"/>
      <c r="L9" s="20"/>
      <c r="M9" s="20"/>
      <c r="N9" s="20"/>
      <c r="O9" s="20"/>
      <c r="P9" s="20"/>
    </row>
    <row r="10" spans="1:16">
      <c r="A10" s="25" t="s">
        <v>213</v>
      </c>
      <c r="B10" s="26">
        <f ca="1">'EF ele_warmte'!B12</f>
        <v>0.19917349109099455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3873.981600944599</v>
      </c>
      <c r="C12" s="24">
        <f ca="1">C10*C8</f>
        <v>0</v>
      </c>
      <c r="D12" s="24">
        <f>D8*D10</f>
        <v>5320.2531259240004</v>
      </c>
      <c r="E12" s="24">
        <f>E10*E8</f>
        <v>326.53938154346014</v>
      </c>
      <c r="F12" s="24">
        <f>F10*F8</f>
        <v>11709.464610811785</v>
      </c>
      <c r="G12" s="24"/>
      <c r="H12" s="24"/>
      <c r="I12" s="24"/>
      <c r="J12" s="24">
        <f>J10*J8</f>
        <v>281.69404853240633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4328</v>
      </c>
      <c r="C26" s="37"/>
      <c r="D26" s="228"/>
    </row>
    <row r="27" spans="1:5" s="16" customFormat="1">
      <c r="A27" s="230" t="s">
        <v>654</v>
      </c>
      <c r="B27" s="38">
        <f>SUM(HH_hh_gas_aantal,HH_rest_gas_aantal)</f>
        <v>1634</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1552.3</v>
      </c>
      <c r="C31" s="35" t="s">
        <v>110</v>
      </c>
      <c r="D31" s="174"/>
    </row>
    <row r="32" spans="1:5">
      <c r="A32" s="171" t="s">
        <v>72</v>
      </c>
      <c r="B32" s="34">
        <f>IF((B21*($B$26-($B$27-0.05*$B$27)-$B$60))&lt;0,0,B21*($B$26-($B$27-0.05*$B$27)-$B$60))</f>
        <v>67.967991752937451</v>
      </c>
      <c r="C32" s="35" t="s">
        <v>110</v>
      </c>
      <c r="D32" s="174"/>
    </row>
    <row r="33" spans="1:6">
      <c r="A33" s="171" t="s">
        <v>73</v>
      </c>
      <c r="B33" s="34">
        <f>IF((B22*($B$26-($B$27-0.05*$B$27)-$B$60))&lt;0,0,B22*($B$26-($B$27-0.05*$B$27)-$B$60))</f>
        <v>457.50430004315217</v>
      </c>
      <c r="C33" s="35" t="s">
        <v>110</v>
      </c>
      <c r="D33" s="174"/>
    </row>
    <row r="34" spans="1:6">
      <c r="A34" s="171" t="s">
        <v>74</v>
      </c>
      <c r="B34" s="34">
        <f>IF((B24*($B$26-($B$27-0.05*$B$27)-$B$60))&lt;0,0,B24*($B$26-($B$27-0.05*$B$27)-$B$60))</f>
        <v>116.03273380780361</v>
      </c>
      <c r="C34" s="34">
        <f>B26*C24</f>
        <v>885.0860741517447</v>
      </c>
      <c r="D34" s="233"/>
    </row>
    <row r="35" spans="1:6">
      <c r="A35" s="171" t="s">
        <v>76</v>
      </c>
      <c r="B35" s="34">
        <f>IF((B19*($B$26-($B$27-0.05*$B$27)-$B$60))&lt;0,0,B19*($B$26-($B$27-0.05*$B$27)-$B$60))</f>
        <v>43.137298469534073</v>
      </c>
      <c r="C35" s="34">
        <f>B35/2</f>
        <v>21.568649234767037</v>
      </c>
      <c r="D35" s="233"/>
    </row>
    <row r="36" spans="1:6">
      <c r="A36" s="171" t="s">
        <v>77</v>
      </c>
      <c r="B36" s="34">
        <f>IF((B18*($B$26-($B$27-0.05*$B$27)-$B$60))&lt;0,0,B18*($B$26-($B$27-0.05*$B$27)-$B$60))</f>
        <v>2081.0576759265718</v>
      </c>
      <c r="C36" s="35" t="s">
        <v>110</v>
      </c>
      <c r="D36" s="174"/>
    </row>
    <row r="37" spans="1:6">
      <c r="A37" s="171" t="s">
        <v>78</v>
      </c>
      <c r="B37" s="34">
        <f>B60</f>
        <v>10</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15</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10</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19083.79</v>
      </c>
      <c r="C5" s="18">
        <f>IF(ISERROR('Eigen informatie GS &amp; warmtenet'!B58),0,'Eigen informatie GS &amp; warmtenet'!B58)</f>
        <v>0</v>
      </c>
      <c r="D5" s="31">
        <f>SUM(D6:D12)</f>
        <v>9361.4584140000006</v>
      </c>
      <c r="E5" s="18">
        <f>SUM(E6:E12)</f>
        <v>138.90126765746217</v>
      </c>
      <c r="F5" s="18">
        <f>SUM(F6:F12)</f>
        <v>3726.3314668394587</v>
      </c>
      <c r="G5" s="19"/>
      <c r="H5" s="18"/>
      <c r="I5" s="18"/>
      <c r="J5" s="18">
        <f>SUM(J6:J12)</f>
        <v>0</v>
      </c>
      <c r="K5" s="18"/>
      <c r="L5" s="18"/>
      <c r="M5" s="18"/>
      <c r="N5" s="18">
        <f>SUM(N6:N12)</f>
        <v>886.25128017264581</v>
      </c>
      <c r="O5" s="18">
        <f>B38*B39*B40</f>
        <v>0</v>
      </c>
      <c r="P5" s="18">
        <f>B46*B47*B48/1000-B46*B47*B48/1000/B49</f>
        <v>0</v>
      </c>
      <c r="R5" s="33"/>
    </row>
    <row r="6" spans="1:18">
      <c r="A6" s="33" t="s">
        <v>53</v>
      </c>
      <c r="B6" s="38">
        <f>B26</f>
        <v>5547.8239999999996</v>
      </c>
      <c r="C6" s="34"/>
      <c r="D6" s="38">
        <f>IF(ISERROR(TER_kantoor_gas_kWh/1000),0,TER_kantoor_gas_kWh/1000)*0.902</f>
        <v>2890.939766</v>
      </c>
      <c r="E6" s="34">
        <f>$C$26*'E Balans VL '!I12/100/3.6*1000000</f>
        <v>9.1051035939391856</v>
      </c>
      <c r="F6" s="34">
        <f>$C$26*('E Balans VL '!L12+'E Balans VL '!N12)/100/3.6*1000000</f>
        <v>653.95791638982632</v>
      </c>
      <c r="G6" s="35"/>
      <c r="H6" s="34"/>
      <c r="I6" s="34"/>
      <c r="J6" s="34">
        <f>$C$26*('E Balans VL '!D12+'E Balans VL '!E12)/100/3.6*1000000</f>
        <v>0</v>
      </c>
      <c r="K6" s="34"/>
      <c r="L6" s="34"/>
      <c r="M6" s="34"/>
      <c r="N6" s="34">
        <f>$C$26*'E Balans VL '!Y12/100/3.6*1000000</f>
        <v>1.1209115681026136</v>
      </c>
      <c r="O6" s="34"/>
      <c r="P6" s="34"/>
      <c r="R6" s="33"/>
    </row>
    <row r="7" spans="1:18">
      <c r="A7" s="33" t="s">
        <v>52</v>
      </c>
      <c r="B7" s="38">
        <f t="shared" ref="B7:B12" si="0">B27</f>
        <v>1232.2660000000001</v>
      </c>
      <c r="C7" s="34"/>
      <c r="D7" s="38">
        <f>IF(ISERROR(TER_horeca_gas_kWh/1000),0,TER_horeca_gas_kWh/1000)*0.902</f>
        <v>1920.4184340000002</v>
      </c>
      <c r="E7" s="34">
        <f>$C$27*'E Balans VL '!I9/100/3.6*1000000</f>
        <v>63.945688532410152</v>
      </c>
      <c r="F7" s="34">
        <f>$C$27*('E Balans VL '!L9+'E Balans VL '!N9)/100/3.6*1000000</f>
        <v>281.20399533664113</v>
      </c>
      <c r="G7" s="35"/>
      <c r="H7" s="34"/>
      <c r="I7" s="34"/>
      <c r="J7" s="34">
        <f>$C$27*('E Balans VL '!D9+'E Balans VL '!E9)/100/3.6*1000000</f>
        <v>0</v>
      </c>
      <c r="K7" s="34"/>
      <c r="L7" s="34"/>
      <c r="M7" s="34"/>
      <c r="N7" s="34">
        <f>$C$27*'E Balans VL '!Y9/100/3.6*1000000</f>
        <v>0.13012672488946866</v>
      </c>
      <c r="O7" s="34"/>
      <c r="P7" s="34"/>
      <c r="R7" s="33"/>
    </row>
    <row r="8" spans="1:18">
      <c r="A8" s="6" t="s">
        <v>51</v>
      </c>
      <c r="B8" s="38">
        <f t="shared" si="0"/>
        <v>9891.8160000000007</v>
      </c>
      <c r="C8" s="34"/>
      <c r="D8" s="38">
        <f>IF(ISERROR(TER_handel_gas_kWh/1000),0,TER_handel_gas_kWh/1000)*0.902</f>
        <v>1666.3430739999999</v>
      </c>
      <c r="E8" s="34">
        <f>$C$28*'E Balans VL '!I13/100/3.6*1000000</f>
        <v>53.268644702627725</v>
      </c>
      <c r="F8" s="34">
        <f>$C$28*('E Balans VL '!L13+'E Balans VL '!N13)/100/3.6*1000000</f>
        <v>2017.2352406956484</v>
      </c>
      <c r="G8" s="35"/>
      <c r="H8" s="34"/>
      <c r="I8" s="34"/>
      <c r="J8" s="34">
        <f>$C$28*('E Balans VL '!D13+'E Balans VL '!E13)/100/3.6*1000000</f>
        <v>0</v>
      </c>
      <c r="K8" s="34"/>
      <c r="L8" s="34"/>
      <c r="M8" s="34"/>
      <c r="N8" s="34">
        <f>$C$28*'E Balans VL '!Y13/100/3.6*1000000</f>
        <v>49.186777249632975</v>
      </c>
      <c r="O8" s="34"/>
      <c r="P8" s="34"/>
      <c r="R8" s="33"/>
    </row>
    <row r="9" spans="1:18">
      <c r="A9" s="33" t="s">
        <v>50</v>
      </c>
      <c r="B9" s="38">
        <f t="shared" si="0"/>
        <v>580.10400000000004</v>
      </c>
      <c r="C9" s="34"/>
      <c r="D9" s="38">
        <f>IF(ISERROR(TER_gezond_gas_kWh/1000),0,TER_gezond_gas_kWh/1000)*0.902</f>
        <v>1364.0810700000002</v>
      </c>
      <c r="E9" s="34">
        <f>$C$29*'E Balans VL '!I10/100/3.6*1000000</f>
        <v>0.57488966091538596</v>
      </c>
      <c r="F9" s="34">
        <f>$C$29*('E Balans VL '!L10+'E Balans VL '!N10)/100/3.6*1000000</f>
        <v>201.27936714368488</v>
      </c>
      <c r="G9" s="35"/>
      <c r="H9" s="34"/>
      <c r="I9" s="34"/>
      <c r="J9" s="34">
        <f>$C$29*('E Balans VL '!D10+'E Balans VL '!E10)/100/3.6*1000000</f>
        <v>0</v>
      </c>
      <c r="K9" s="34"/>
      <c r="L9" s="34"/>
      <c r="M9" s="34"/>
      <c r="N9" s="34">
        <f>$C$29*'E Balans VL '!Y10/100/3.6*1000000</f>
        <v>4.9987059138314143</v>
      </c>
      <c r="O9" s="34"/>
      <c r="P9" s="34"/>
      <c r="R9" s="33"/>
    </row>
    <row r="10" spans="1:18">
      <c r="A10" s="33" t="s">
        <v>49</v>
      </c>
      <c r="B10" s="38">
        <f t="shared" si="0"/>
        <v>1437.9939999999999</v>
      </c>
      <c r="C10" s="34"/>
      <c r="D10" s="38">
        <f>IF(ISERROR(TER_ander_gas_kWh/1000),0,TER_ander_gas_kWh/1000)*0.902</f>
        <v>1192.663186</v>
      </c>
      <c r="E10" s="34">
        <f>$C$30*'E Balans VL '!I14/100/3.6*1000000</f>
        <v>11.764228092650672</v>
      </c>
      <c r="F10" s="34">
        <f>$C$30*('E Balans VL '!L14+'E Balans VL '!N14)/100/3.6*1000000</f>
        <v>420.41090243960724</v>
      </c>
      <c r="G10" s="35"/>
      <c r="H10" s="34"/>
      <c r="I10" s="34"/>
      <c r="J10" s="34">
        <f>$C$30*('E Balans VL '!D14+'E Balans VL '!E14)/100/3.6*1000000</f>
        <v>0</v>
      </c>
      <c r="K10" s="34"/>
      <c r="L10" s="34"/>
      <c r="M10" s="34"/>
      <c r="N10" s="34">
        <f>$C$30*'E Balans VL '!Y14/100/3.6*1000000</f>
        <v>829.5338572447273</v>
      </c>
      <c r="O10" s="34"/>
      <c r="P10" s="34"/>
      <c r="R10" s="33"/>
    </row>
    <row r="11" spans="1:18">
      <c r="A11" s="33" t="s">
        <v>54</v>
      </c>
      <c r="B11" s="38">
        <f t="shared" si="0"/>
        <v>393.786</v>
      </c>
      <c r="C11" s="34"/>
      <c r="D11" s="38">
        <f>IF(ISERROR(TER_onderwijs_gas_kWh/1000),0,TER_onderwijs_gas_kWh/1000)*0.902</f>
        <v>0</v>
      </c>
      <c r="E11" s="34">
        <f>$C$31*'E Balans VL '!I11/100/3.6*1000000</f>
        <v>0.24271307491904484</v>
      </c>
      <c r="F11" s="34">
        <f>$C$31*('E Balans VL '!L11+'E Balans VL '!N11)/100/3.6*1000000</f>
        <v>152.24404483405078</v>
      </c>
      <c r="G11" s="35"/>
      <c r="H11" s="34"/>
      <c r="I11" s="34"/>
      <c r="J11" s="34">
        <f>$C$31*('E Balans VL '!D11+'E Balans VL '!E11)/100/3.6*1000000</f>
        <v>0</v>
      </c>
      <c r="K11" s="34"/>
      <c r="L11" s="34"/>
      <c r="M11" s="34"/>
      <c r="N11" s="34">
        <f>$C$31*'E Balans VL '!Y11/100/3.6*1000000</f>
        <v>1.2809014714619744</v>
      </c>
      <c r="O11" s="34"/>
      <c r="P11" s="34"/>
      <c r="R11" s="33"/>
    </row>
    <row r="12" spans="1:18">
      <c r="A12" s="33" t="s">
        <v>255</v>
      </c>
      <c r="B12" s="38">
        <f t="shared" si="0"/>
        <v>0</v>
      </c>
      <c r="C12" s="34"/>
      <c r="D12" s="38">
        <f>IF(ISERROR(TER_rest_gas_kWh/1000),0,TER_rest_gas_kWh/1000)*0.902</f>
        <v>327.01288399999999</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19083.79</v>
      </c>
      <c r="C16" s="22">
        <f t="shared" ca="1" si="1"/>
        <v>0</v>
      </c>
      <c r="D16" s="22">
        <f t="shared" ca="1" si="1"/>
        <v>9361.4584140000006</v>
      </c>
      <c r="E16" s="22">
        <f t="shared" si="1"/>
        <v>138.90126765746217</v>
      </c>
      <c r="F16" s="22">
        <f t="shared" ca="1" si="1"/>
        <v>3726.3314668394587</v>
      </c>
      <c r="G16" s="22">
        <f t="shared" si="1"/>
        <v>0</v>
      </c>
      <c r="H16" s="22">
        <f t="shared" si="1"/>
        <v>0</v>
      </c>
      <c r="I16" s="22">
        <f t="shared" si="1"/>
        <v>0</v>
      </c>
      <c r="J16" s="22">
        <f t="shared" si="1"/>
        <v>0</v>
      </c>
      <c r="K16" s="22">
        <f t="shared" si="1"/>
        <v>0</v>
      </c>
      <c r="L16" s="22">
        <f t="shared" ca="1" si="1"/>
        <v>0</v>
      </c>
      <c r="M16" s="22">
        <f t="shared" si="1"/>
        <v>0</v>
      </c>
      <c r="N16" s="22">
        <f t="shared" ca="1" si="1"/>
        <v>886.25128017264581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0.19917349109099455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3800.985077547411</v>
      </c>
      <c r="C20" s="24">
        <f t="shared" ref="C20:P20" ca="1" si="2">C16*C18</f>
        <v>0</v>
      </c>
      <c r="D20" s="24">
        <f t="shared" ca="1" si="2"/>
        <v>1891.0145996280003</v>
      </c>
      <c r="E20" s="24">
        <f t="shared" si="2"/>
        <v>31.530587758243914</v>
      </c>
      <c r="F20" s="24">
        <f t="shared" ca="1" si="2"/>
        <v>994.93050164613555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5547.8239999999996</v>
      </c>
      <c r="C26" s="40">
        <f>IF(ISERROR(B26*3.6/1000000/'E Balans VL '!Z12*100),0,B26*3.6/1000000/'E Balans VL '!Z12*100)</f>
        <v>0.1178872814831846</v>
      </c>
      <c r="D26" s="236" t="s">
        <v>691</v>
      </c>
      <c r="F26" s="6"/>
    </row>
    <row r="27" spans="1:18">
      <c r="A27" s="231" t="s">
        <v>52</v>
      </c>
      <c r="B27" s="34">
        <f>IF(ISERROR(TER_horeca_ele_kWh/1000),0,TER_horeca_ele_kWh/1000)</f>
        <v>1232.2660000000001</v>
      </c>
      <c r="C27" s="40">
        <f>IF(ISERROR(B27*3.6/1000000/'E Balans VL '!Z9*100),0,B27*3.6/1000000/'E Balans VL '!Z9*100)</f>
        <v>9.698886327165368E-2</v>
      </c>
      <c r="D27" s="236" t="s">
        <v>691</v>
      </c>
      <c r="F27" s="6"/>
    </row>
    <row r="28" spans="1:18">
      <c r="A28" s="171" t="s">
        <v>51</v>
      </c>
      <c r="B28" s="34">
        <f>IF(ISERROR(TER_handel_ele_kWh/1000),0,TER_handel_ele_kWh/1000)</f>
        <v>9891.8160000000007</v>
      </c>
      <c r="C28" s="40">
        <f>IF(ISERROR(B28*3.6/1000000/'E Balans VL '!Z13*100),0,B28*3.6/1000000/'E Balans VL '!Z13*100)</f>
        <v>0.27707506005092197</v>
      </c>
      <c r="D28" s="236" t="s">
        <v>691</v>
      </c>
      <c r="F28" s="6"/>
    </row>
    <row r="29" spans="1:18">
      <c r="A29" s="231" t="s">
        <v>50</v>
      </c>
      <c r="B29" s="34">
        <f>IF(ISERROR(TER_gezond_ele_kWh/1000),0,TER_gezond_ele_kWh/1000)</f>
        <v>580.10400000000004</v>
      </c>
      <c r="C29" s="40">
        <f>IF(ISERROR(B29*3.6/1000000/'E Balans VL '!Z10*100),0,B29*3.6/1000000/'E Balans VL '!Z10*100)</f>
        <v>7.421284323848118E-2</v>
      </c>
      <c r="D29" s="236" t="s">
        <v>691</v>
      </c>
      <c r="F29" s="6"/>
    </row>
    <row r="30" spans="1:18">
      <c r="A30" s="231" t="s">
        <v>49</v>
      </c>
      <c r="B30" s="34">
        <f>IF(ISERROR(TER_ander_ele_kWh/1000),0,TER_ander_ele_kWh/1000)</f>
        <v>1437.9939999999999</v>
      </c>
      <c r="C30" s="40">
        <f>IF(ISERROR(B30*3.6/1000000/'E Balans VL '!Z14*100),0,B30*3.6/1000000/'E Balans VL '!Z14*100)</f>
        <v>0.10754983445088971</v>
      </c>
      <c r="D30" s="236" t="s">
        <v>691</v>
      </c>
      <c r="F30" s="6"/>
    </row>
    <row r="31" spans="1:18">
      <c r="A31" s="231" t="s">
        <v>54</v>
      </c>
      <c r="B31" s="34">
        <f>IF(ISERROR(TER_onderwijs_ele_kWh/1000),0,TER_onderwijs_ele_kWh/1000)</f>
        <v>393.786</v>
      </c>
      <c r="C31" s="40">
        <f>IF(ISERROR(B31*3.6/1000000/'E Balans VL '!Z11*100),0,B31*3.6/1000000/'E Balans VL '!Z11*100)</f>
        <v>8.3148423983250522E-2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10779.483999999999</v>
      </c>
      <c r="C5" s="18">
        <f>IF(ISERROR('Eigen informatie GS &amp; warmtenet'!B59),0,'Eigen informatie GS &amp; warmtenet'!B59)</f>
        <v>0</v>
      </c>
      <c r="D5" s="31">
        <f>SUM(D6:D15)</f>
        <v>17174.392092000002</v>
      </c>
      <c r="E5" s="18">
        <f>SUM(E6:E15)</f>
        <v>113.70621280167968</v>
      </c>
      <c r="F5" s="18">
        <f>SUM(F6:F15)</f>
        <v>3487.7193247413602</v>
      </c>
      <c r="G5" s="19"/>
      <c r="H5" s="18"/>
      <c r="I5" s="18"/>
      <c r="J5" s="18">
        <f>SUM(J6:J15)</f>
        <v>9.9288105220324461</v>
      </c>
      <c r="K5" s="18"/>
      <c r="L5" s="18"/>
      <c r="M5" s="18"/>
      <c r="N5" s="18">
        <f>SUM(N6:N15)</f>
        <v>341.66516871743482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85.043000000000006</v>
      </c>
      <c r="C8" s="34"/>
      <c r="D8" s="38">
        <f>IF( ISERROR(IND_metaal_Gas_kWH/1000),0,IND_metaal_Gas_kWH/1000)*0.902</f>
        <v>0</v>
      </c>
      <c r="E8" s="34">
        <f>C30*'E Balans VL '!I18/100/3.6*1000000</f>
        <v>0.77447127520074177</v>
      </c>
      <c r="F8" s="34">
        <f>C30*'E Balans VL '!L18/100/3.6*1000000+C30*'E Balans VL '!N18/100/3.6*1000000</f>
        <v>11.216525872365564</v>
      </c>
      <c r="G8" s="35"/>
      <c r="H8" s="34"/>
      <c r="I8" s="34"/>
      <c r="J8" s="41">
        <f>C30*'E Balans VL '!D18/100/3.6*1000000+C30*'E Balans VL '!E18/100/3.6*1000000</f>
        <v>1.3945817220103094</v>
      </c>
      <c r="K8" s="34"/>
      <c r="L8" s="34"/>
      <c r="M8" s="34"/>
      <c r="N8" s="34">
        <f>C30*'E Balans VL '!Y18/100/3.6*1000000</f>
        <v>0.29225900775491054</v>
      </c>
      <c r="O8" s="34"/>
      <c r="P8" s="34"/>
      <c r="R8" s="33"/>
    </row>
    <row r="9" spans="1:18">
      <c r="A9" s="6" t="s">
        <v>32</v>
      </c>
      <c r="B9" s="38">
        <f t="shared" si="0"/>
        <v>3040.3449999999998</v>
      </c>
      <c r="C9" s="34"/>
      <c r="D9" s="38">
        <f>IF( ISERROR(IND_andere_gas_kWh/1000),0,IND_andere_gas_kWh/1000)*0.902</f>
        <v>888.68828399999995</v>
      </c>
      <c r="E9" s="34">
        <f>C31*'E Balans VL '!I19/100/3.6*1000000</f>
        <v>17.573648441980268</v>
      </c>
      <c r="F9" s="34">
        <f>C31*'E Balans VL '!L19/100/3.6*1000000+C31*'E Balans VL '!N19/100/3.6*1000000</f>
        <v>2418.7407431122697</v>
      </c>
      <c r="G9" s="35"/>
      <c r="H9" s="34"/>
      <c r="I9" s="34"/>
      <c r="J9" s="41">
        <f>C31*'E Balans VL '!D19/100/3.6*1000000+C31*'E Balans VL '!E19/100/3.6*1000000</f>
        <v>0.28758286580426851</v>
      </c>
      <c r="K9" s="34"/>
      <c r="L9" s="34"/>
      <c r="M9" s="34"/>
      <c r="N9" s="34">
        <f>C31*'E Balans VL '!Y19/100/3.6*1000000</f>
        <v>230.3521442250325</v>
      </c>
      <c r="O9" s="34"/>
      <c r="P9" s="34"/>
      <c r="R9" s="33"/>
    </row>
    <row r="10" spans="1:18">
      <c r="A10" s="6" t="s">
        <v>40</v>
      </c>
      <c r="B10" s="38">
        <f t="shared" si="0"/>
        <v>6359.9229999999998</v>
      </c>
      <c r="C10" s="34"/>
      <c r="D10" s="38">
        <f>IF( ISERROR(IND_voed_gas_kWh/1000),0,IND_voed_gas_kWh/1000)*0.902</f>
        <v>16260.815823999999</v>
      </c>
      <c r="E10" s="34">
        <f>C32*'E Balans VL '!I20/100/3.6*1000000</f>
        <v>62.534681610917886</v>
      </c>
      <c r="F10" s="34">
        <f>C32*'E Balans VL '!L20/100/3.6*1000000+C32*'E Balans VL '!N20/100/3.6*1000000</f>
        <v>706.35246296327682</v>
      </c>
      <c r="G10" s="35"/>
      <c r="H10" s="34"/>
      <c r="I10" s="34"/>
      <c r="J10" s="41">
        <f>C32*'E Balans VL '!D20/100/3.6*1000000+C32*'E Balans VL '!E20/100/3.6*1000000</f>
        <v>2.5067343774310639E-2</v>
      </c>
      <c r="K10" s="34"/>
      <c r="L10" s="34"/>
      <c r="M10" s="34"/>
      <c r="N10" s="34">
        <f>C32*'E Balans VL '!Y20/100/3.6*1000000</f>
        <v>94.175499514192168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1227.7550000000001</v>
      </c>
      <c r="C12" s="34"/>
      <c r="D12" s="38">
        <f>IF( ISERROR(IND_min_gas_kWh/1000),0,IND_min_gas_kWh/1000)*0.902</f>
        <v>0</v>
      </c>
      <c r="E12" s="34">
        <f>C34*'E Balans VL '!I22/100/3.6*1000000</f>
        <v>31.125774033979337</v>
      </c>
      <c r="F12" s="34">
        <f>C34*'E Balans VL '!L22/100/3.6*1000000+C34*'E Balans VL '!N22/100/3.6*1000000</f>
        <v>339.72408795089018</v>
      </c>
      <c r="G12" s="35"/>
      <c r="H12" s="34"/>
      <c r="I12" s="34"/>
      <c r="J12" s="41">
        <f>C34*'E Balans VL '!D22/100/3.6*1000000+C34*'E Balans VL '!E22/100/3.6*1000000</f>
        <v>8.1083407385064028</v>
      </c>
      <c r="K12" s="34"/>
      <c r="L12" s="34"/>
      <c r="M12" s="34"/>
      <c r="N12" s="34">
        <f>C34*'E Balans VL '!Y22/100/3.6*1000000</f>
        <v>0</v>
      </c>
      <c r="O12" s="34"/>
      <c r="P12" s="34"/>
      <c r="R12" s="33"/>
    </row>
    <row r="13" spans="1:18">
      <c r="A13" s="6" t="s">
        <v>38</v>
      </c>
      <c r="B13" s="38">
        <f t="shared" si="0"/>
        <v>43.9</v>
      </c>
      <c r="C13" s="34"/>
      <c r="D13" s="38">
        <f>IF( ISERROR(IND_papier_gas_kWh/1000),0,IND_papier_gas_kWh/1000)*0.902</f>
        <v>0</v>
      </c>
      <c r="E13" s="34">
        <f>C35*'E Balans VL '!I23/100/3.6*1000000</f>
        <v>1.4952976508848106</v>
      </c>
      <c r="F13" s="34">
        <f>C35*'E Balans VL '!L23/100/3.6*1000000+C35*'E Balans VL '!N23/100/3.6*1000000</f>
        <v>7.2512496891780263</v>
      </c>
      <c r="G13" s="35"/>
      <c r="H13" s="34"/>
      <c r="I13" s="34"/>
      <c r="J13" s="41">
        <f>C35*'E Balans VL '!D23/100/3.6*1000000+C35*'E Balans VL '!E23/100/3.6*1000000</f>
        <v>0</v>
      </c>
      <c r="K13" s="34"/>
      <c r="L13" s="34"/>
      <c r="M13" s="34"/>
      <c r="N13" s="34">
        <f>C35*'E Balans VL '!Y23/100/3.6*1000000</f>
        <v>16.154022693264878</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22.518000000000001</v>
      </c>
      <c r="C15" s="34"/>
      <c r="D15" s="38">
        <f>IF( ISERROR(IND_rest_gas_kWh/1000),0,IND_rest_gas_kWh/1000)*0.902</f>
        <v>24.887983999999999</v>
      </c>
      <c r="E15" s="34">
        <f>C37*'E Balans VL '!I15/100/3.6*1000000</f>
        <v>0.20233978871664693</v>
      </c>
      <c r="F15" s="34">
        <f>C37*'E Balans VL '!L15/100/3.6*1000000+C37*'E Balans VL '!N15/100/3.6*1000000</f>
        <v>4.4342551533800574</v>
      </c>
      <c r="G15" s="35"/>
      <c r="H15" s="34"/>
      <c r="I15" s="34"/>
      <c r="J15" s="41">
        <f>C37*'E Balans VL '!D15/100/3.6*1000000+C37*'E Balans VL '!E15/100/3.6*1000000</f>
        <v>0.11323785193715445</v>
      </c>
      <c r="K15" s="34"/>
      <c r="L15" s="34"/>
      <c r="M15" s="34"/>
      <c r="N15" s="34">
        <f>C37*'E Balans VL '!Y15/100/3.6*1000000</f>
        <v>0.69124327719032364</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10779.483999999999</v>
      </c>
      <c r="C18" s="22">
        <f>C5+C16</f>
        <v>0</v>
      </c>
      <c r="D18" s="22">
        <f>MAX((D5+D16),0)</f>
        <v>17174.392092000002</v>
      </c>
      <c r="E18" s="22">
        <f>MAX((E5+E16),0)</f>
        <v>113.70621280167968</v>
      </c>
      <c r="F18" s="22">
        <f>MAX((F5+F16),0)</f>
        <v>3487.7193247413602</v>
      </c>
      <c r="G18" s="22"/>
      <c r="H18" s="22"/>
      <c r="I18" s="22"/>
      <c r="J18" s="22">
        <f>MAX((J5+J16),0)</f>
        <v>9.9288105220324461</v>
      </c>
      <c r="K18" s="22"/>
      <c r="L18" s="22">
        <f>MAX((L5+L16),0)</f>
        <v>0</v>
      </c>
      <c r="M18" s="22"/>
      <c r="N18" s="22">
        <f>MAX((N5+N16),0)</f>
        <v>341.66516871743482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0.19917349109099455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2146.9874604395181</v>
      </c>
      <c r="C22" s="24">
        <f ca="1">C18*C20</f>
        <v>0</v>
      </c>
      <c r="D22" s="24">
        <f>D18*D20</f>
        <v>3469.2272025840007</v>
      </c>
      <c r="E22" s="24">
        <f>E18*E20</f>
        <v>25.811310305981291</v>
      </c>
      <c r="F22" s="24">
        <f>F18*F20</f>
        <v>931.22105970594328</v>
      </c>
      <c r="G22" s="24"/>
      <c r="H22" s="24"/>
      <c r="I22" s="24"/>
      <c r="J22" s="24">
        <f>J18*J20</f>
        <v>3.5147989247994857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85.043000000000006</v>
      </c>
      <c r="C30" s="40">
        <f>IF(ISERROR(B30*3.6/1000000/'E Balans VL '!Z18*100),0,B30*3.6/1000000/'E Balans VL '!Z18*100)</f>
        <v>4.7320742723381062E-3</v>
      </c>
      <c r="D30" s="236" t="s">
        <v>691</v>
      </c>
    </row>
    <row r="31" spans="1:18">
      <c r="A31" s="6" t="s">
        <v>32</v>
      </c>
      <c r="B31" s="38">
        <f>IF( ISERROR(IND_ander_ele_kWh/1000),0,IND_ander_ele_kWh/1000)</f>
        <v>3040.3449999999998</v>
      </c>
      <c r="C31" s="40">
        <f>IF(ISERROR(B31*3.6/1000000/'E Balans VL '!Z19*100),0,B31*3.6/1000000/'E Balans VL '!Z19*100)</f>
        <v>0.14133765418366781</v>
      </c>
      <c r="D31" s="236" t="s">
        <v>691</v>
      </c>
    </row>
    <row r="32" spans="1:18">
      <c r="A32" s="171" t="s">
        <v>40</v>
      </c>
      <c r="B32" s="38">
        <f>IF( ISERROR(IND_voed_ele_kWh/1000),0,IND_voed_ele_kWh/1000)</f>
        <v>6359.9229999999998</v>
      </c>
      <c r="C32" s="40">
        <f>IF(ISERROR(B32*3.6/1000000/'E Balans VL '!Z20*100),0,B32*3.6/1000000/'E Balans VL '!Z20*100)</f>
        <v>0.22481043364153516</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1227.7550000000001</v>
      </c>
      <c r="C34" s="40">
        <f>IF(ISERROR(B34*3.6/1000000/'E Balans VL '!Z22*100),0,B34*3.6/1000000/'E Balans VL '!Z22*100)</f>
        <v>0.24674413347865698</v>
      </c>
      <c r="D34" s="236" t="s">
        <v>691</v>
      </c>
    </row>
    <row r="35" spans="1:5">
      <c r="A35" s="171" t="s">
        <v>38</v>
      </c>
      <c r="B35" s="38">
        <f>IF( ISERROR(IND_papier_ele_kWh/1000),0,IND_papier_ele_kWh/1000)</f>
        <v>43.9</v>
      </c>
      <c r="C35" s="40">
        <f>IF(ISERROR(B35*3.6/1000000/'E Balans VL '!Z22*100),0,B35*3.6/1000000/'E Balans VL '!Z22*100)</f>
        <v>8.8226620618226271E-3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22.518000000000001</v>
      </c>
      <c r="C37" s="40">
        <f>IF(ISERROR(B37*3.6/1000000/'E Balans VL '!Z15*100),0,B37*3.6/1000000/'E Balans VL '!Z15*100)</f>
        <v>1.7004416411603226E-4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2974.87</v>
      </c>
      <c r="C5" s="18">
        <f>'Eigen informatie GS &amp; warmtenet'!B60</f>
        <v>0</v>
      </c>
      <c r="D5" s="31">
        <f>IF(ISERROR(SUM(LB_lb_gas_kWh,LB_rest_gas_kWh)/1000),0,SUM(LB_lb_gas_kWh,LB_rest_gas_kWh)/1000)*0.902</f>
        <v>801.89964800000007</v>
      </c>
      <c r="E5" s="18">
        <f>B17*'E Balans VL '!I25/3.6*1000000/100</f>
        <v>28.02526862828406</v>
      </c>
      <c r="F5" s="18">
        <f>B17*('E Balans VL '!L25/3.6*1000000+'E Balans VL '!N25/3.6*1000000)/100</f>
        <v>9707.9880826474946</v>
      </c>
      <c r="G5" s="19"/>
      <c r="H5" s="18"/>
      <c r="I5" s="18"/>
      <c r="J5" s="18">
        <f>('E Balans VL '!D25+'E Balans VL '!E25)/3.6*1000000*landbouw!B17/100</f>
        <v>368.00588876490053</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2974.87</v>
      </c>
      <c r="C8" s="22">
        <f>C5+C6</f>
        <v>0</v>
      </c>
      <c r="D8" s="22">
        <f>MAX((D5+D6),0)</f>
        <v>801.89964800000007</v>
      </c>
      <c r="E8" s="22">
        <f>MAX((E5+E6),0)</f>
        <v>28.02526862828406</v>
      </c>
      <c r="F8" s="22">
        <f>MAX((F5+F6),0)</f>
        <v>9707.9880826474946</v>
      </c>
      <c r="G8" s="22"/>
      <c r="H8" s="22"/>
      <c r="I8" s="22"/>
      <c r="J8" s="22">
        <f>MAX((J5+J6),0)</f>
        <v>368.00588876490053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0.19917349109099455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592.51524344186691</v>
      </c>
      <c r="C12" s="24">
        <f ca="1">C8*C10</f>
        <v>0</v>
      </c>
      <c r="D12" s="24">
        <f>D8*D10</f>
        <v>161.98372889600003</v>
      </c>
      <c r="E12" s="24">
        <f>E8*E10</f>
        <v>6.3617359786204819</v>
      </c>
      <c r="F12" s="24">
        <f>F8*F10</f>
        <v>2592.0328180668812</v>
      </c>
      <c r="G12" s="24"/>
      <c r="H12" s="24"/>
      <c r="I12" s="24"/>
      <c r="J12" s="24">
        <f>J8*J10</f>
        <v>130.27408462277478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0.40274986109701072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173.57562091029197</v>
      </c>
      <c r="C26" s="246">
        <f>B26*'GWP N2O_CH4'!B5</f>
        <v>3645.0880391161313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70.909703041819341</v>
      </c>
      <c r="C27" s="246">
        <f>B27*'GWP N2O_CH4'!B5</f>
        <v>1489.1037638782061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2.9912993847154841</v>
      </c>
      <c r="C28" s="246">
        <f>B28*'GWP N2O_CH4'!B4</f>
        <v>927.30280926180001</v>
      </c>
      <c r="D28" s="51"/>
    </row>
    <row r="29" spans="1:4">
      <c r="A29" s="42" t="s">
        <v>272</v>
      </c>
      <c r="B29" s="246">
        <f>B34*'ha_N2O bodem landbouw'!B4</f>
        <v>18.586779558453372</v>
      </c>
      <c r="C29" s="246">
        <f>B29*'GWP N2O_CH4'!B4</f>
        <v>5761.901663120545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5.017845364002245E-3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1.2721951280747109E-5</v>
      </c>
      <c r="C5" s="435" t="s">
        <v>210</v>
      </c>
      <c r="D5" s="420">
        <f>SUM(D6:D11)</f>
        <v>1.5836220436171079E-5</v>
      </c>
      <c r="E5" s="420">
        <f>SUM(E6:E11)</f>
        <v>1.0130611378800808E-3</v>
      </c>
      <c r="F5" s="433" t="s">
        <v>210</v>
      </c>
      <c r="G5" s="420">
        <f>SUM(G6:G11)</f>
        <v>0.24434385606724374</v>
      </c>
      <c r="H5" s="420">
        <f>SUM(H6:H11)</f>
        <v>3.8153326295559231E-2</v>
      </c>
      <c r="I5" s="435" t="s">
        <v>210</v>
      </c>
      <c r="J5" s="435" t="s">
        <v>210</v>
      </c>
      <c r="K5" s="435" t="s">
        <v>210</v>
      </c>
      <c r="L5" s="435" t="s">
        <v>210</v>
      </c>
      <c r="M5" s="420">
        <f>SUM(M6:M11)</f>
        <v>1.2619867512247394E-2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9.9816896653972802E-6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1.1625489016829236E-5</v>
      </c>
      <c r="E6" s="423">
        <f>vkm_GW_PW*SUMIFS(TableVerdeelsleutelVkm[LPG],TableVerdeelsleutelVkm[Voertuigtype],"Lichte voertuigen")*SUMIFS(TableECFTransport[EnergieConsumptieFactor (PJ per km)],TableECFTransport[Index],CONCATENATE($A6,"_LPG_LPG"))</f>
        <v>7.5423185331912007E-4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0.11767434940687528</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2.8359499589028819E-2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6.5350242529714723E-3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4.9366639311147133E-7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8.1663316069801761E-2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2.1913177721896788E-6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3.633751164344487E-3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2.2136438107782718E-6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4.2107314193418429E-6</v>
      </c>
      <c r="E8" s="423">
        <f>vkm_NGW_PW*SUMIFS(TableVerdeelsleutelVkm[LPG],TableVerdeelsleutelVkm[Voertuigtype],"Lichte voertuigen")*SUMIFS(TableECFTransport[EnergieConsumptieFactor (PJ per km)],TableECFTransport[Index],CONCATENATE($A8,"_LPG_LPG"))</f>
        <v>2.588292845609607E-4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3.8016265927649583E-2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9.7914588409760486E-3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2.1400637544911451E-3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3.2951411460085967E-8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6.9899246629171082E-3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1.7654778217009454E-7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3.1102834044028846E-4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3.5338753557630858</v>
      </c>
      <c r="C14" s="22"/>
      <c r="D14" s="22">
        <f t="shared" ref="D14:M14" si="0">((D5)*10^9/3600)+D12</f>
        <v>4.3989501211586335</v>
      </c>
      <c r="E14" s="22">
        <f t="shared" si="0"/>
        <v>281.40587163335579</v>
      </c>
      <c r="F14" s="22"/>
      <c r="G14" s="22">
        <f t="shared" si="0"/>
        <v>67873.293352012144</v>
      </c>
      <c r="H14" s="22">
        <f t="shared" si="0"/>
        <v>10598.146193210896</v>
      </c>
      <c r="I14" s="22"/>
      <c r="J14" s="22"/>
      <c r="K14" s="22"/>
      <c r="L14" s="22"/>
      <c r="M14" s="22">
        <f t="shared" si="0"/>
        <v>3505.5187534020538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0.19917349109099455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0.70385429168776414</v>
      </c>
      <c r="C18" s="24"/>
      <c r="D18" s="24">
        <f t="shared" ref="D18:M18" si="1">D14*D16</f>
        <v>0.888587924474044</v>
      </c>
      <c r="E18" s="24">
        <f t="shared" si="1"/>
        <v>63.879132860771769</v>
      </c>
      <c r="F18" s="24"/>
      <c r="G18" s="24">
        <f t="shared" si="1"/>
        <v>18122.169324987244</v>
      </c>
      <c r="H18" s="24">
        <f t="shared" si="1"/>
        <v>2638.9384021095129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2.3656131806385656E-5</v>
      </c>
      <c r="C50" s="316">
        <f t="shared" ref="C50:P50" si="2">SUM(C51:C52)</f>
        <v>0</v>
      </c>
      <c r="D50" s="316">
        <f t="shared" si="2"/>
        <v>0</v>
      </c>
      <c r="E50" s="316">
        <f t="shared" si="2"/>
        <v>0</v>
      </c>
      <c r="F50" s="316">
        <f t="shared" si="2"/>
        <v>0</v>
      </c>
      <c r="G50" s="316">
        <f t="shared" si="2"/>
        <v>4.718262128393355E-3</v>
      </c>
      <c r="H50" s="316">
        <f t="shared" si="2"/>
        <v>0</v>
      </c>
      <c r="I50" s="316">
        <f t="shared" si="2"/>
        <v>0</v>
      </c>
      <c r="J50" s="316">
        <f t="shared" si="2"/>
        <v>0</v>
      </c>
      <c r="K50" s="316">
        <f t="shared" si="2"/>
        <v>0</v>
      </c>
      <c r="L50" s="316">
        <f t="shared" si="2"/>
        <v>0</v>
      </c>
      <c r="M50" s="316">
        <f t="shared" si="2"/>
        <v>2.0854216084373523E-4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2.3656131806385656E-5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4.718262128393355E-3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2.0854216084373523E-4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6.5711477239960159</v>
      </c>
      <c r="C54" s="22">
        <f t="shared" ref="C54:P54" si="3">(C50)*10^9/3600</f>
        <v>0</v>
      </c>
      <c r="D54" s="22">
        <f t="shared" si="3"/>
        <v>0</v>
      </c>
      <c r="E54" s="22">
        <f t="shared" si="3"/>
        <v>0</v>
      </c>
      <c r="F54" s="22">
        <f t="shared" si="3"/>
        <v>0</v>
      </c>
      <c r="G54" s="22">
        <f t="shared" si="3"/>
        <v>1310.6283689981542</v>
      </c>
      <c r="H54" s="22">
        <f t="shared" si="3"/>
        <v>0</v>
      </c>
      <c r="I54" s="22">
        <f t="shared" si="3"/>
        <v>0</v>
      </c>
      <c r="J54" s="22">
        <f t="shared" si="3"/>
        <v>0</v>
      </c>
      <c r="K54" s="22">
        <f t="shared" si="3"/>
        <v>0</v>
      </c>
      <c r="L54" s="22">
        <f t="shared" si="3"/>
        <v>0</v>
      </c>
      <c r="M54" s="22">
        <f t="shared" si="3"/>
        <v>57.928378012148677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0.19917349109099455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1.3087984326629296</v>
      </c>
      <c r="C58" s="24">
        <f t="shared" ref="C58:P58" ca="1" si="4">C54*C56</f>
        <v>0</v>
      </c>
      <c r="D58" s="24">
        <f t="shared" si="4"/>
        <v>0</v>
      </c>
      <c r="E58" s="24">
        <f t="shared" si="4"/>
        <v>0</v>
      </c>
      <c r="F58" s="24">
        <f t="shared" si="4"/>
        <v>0</v>
      </c>
      <c r="G58" s="24">
        <f t="shared" si="4"/>
        <v>349.9377745225072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5279.2020257371996</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5279.2020257371996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2021-06-29T16:49:43Z</dcterms:modified>
</cp:coreProperties>
</file>