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<sst xmlns="http://schemas.openxmlformats.org/spreadsheetml/2006/main" count="2583" uniqueCount="977">
  <si>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</si>
  <si>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</si>
  <si>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</si>
  <si>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</si>
  <si>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</si>
  <si>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</si>
  <si>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</si>
  <si>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</si>
  <si>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</si>
  <si>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</si>
  <si>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</si>
  <si>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</si>
  <si>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</si>
  <si>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</si>
  <si>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</si>
  <si>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</si>
  <si>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</si>
  <si>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</si>
  <si>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</si>
  <si>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</si>
  <si>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</si>
  <si>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</si>
  <si>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</si>
  <si>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</si>
  <si>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</si>
  <si>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</si>
  <si>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</si>
  <si>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</si>
  <si>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</si>
  <si>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</si>
  <si>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</si>
  <si>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</si>
  <si>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</si>
  <si>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</si>
  <si>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</si>
  <si>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</si>
  <si>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</si>
  <si>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</si>
  <si>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</si>
  <si>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</si>
  <si>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</si>
  <si>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</si>
  <si>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</si>
  <si>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</si>
  <si>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</si>
  <si>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</si>
  <si>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</si>
  <si>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</si>
  <si>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</si>
  <si>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</si>
  <si>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</si>
  <si>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</si>
  <si>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</si>
  <si>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</si>
  <si>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</si>
  <si>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</si>
  <si>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</si>
  <si>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</si>
  <si>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</si>
  <si>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</si>
  <si>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</si>
  <si>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</si>
  <si>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</si>
  <si>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</si>
  <si>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</si>
  <si>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</si>
  <si>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</si>
  <si>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</si>
  <si>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</si>
  <si>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</si>
  <si>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</si>
  <si>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</si>
  <si>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</si>
  <si>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</si>
  <si>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</si>
  <si>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</si>
  <si>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</si>
  <si>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</si>
  <si>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</si>
  <si>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</si>
  <si>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</si>
  <si>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</si>
  <si>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</si>
  <si>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</si>
  <si>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</si>
  <si>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</si>
  <si>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</si>
  <si>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</si>
  <si>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</si>
  <si>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</si>
  <si>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</si>
  <si>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</si>
  <si>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</si>
  <si>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</si>
  <si>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</si>
  <si>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</si>
  <si>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</si>
  <si>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</si>
  <si>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</si>
  <si>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</si>
  <si>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</si>
  <si>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</si>
  <si>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</si>
  <si>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</si>
  <si>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</si>
  <si>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</si>
  <si>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</si>
  <si>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</si>
  <si>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</si>
  <si>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</si>
  <si>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</si>
  <si>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</si>
  <si>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</si>
  <si>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</si>
  <si>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</si>
  <si>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</si>
  <si>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</si>
  <si>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</si>
  <si>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</si>
  <si>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</si>
  <si>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</si>
  <si>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</si>
  <si>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</si>
  <si>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</si>
  <si>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</si>
  <si>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</si>
  <si>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</si>
  <si>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</si>
  <si>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</si>
  <si>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</si>
  <si>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</si>
  <si>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</si>
  <si>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</si>
  <si>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</si>
  <si>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</si>
  <si>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</si>
  <si>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</si>
  <si>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</si>
  <si>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</si>
  <si>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</si>
  <si>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</si>
  <si>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</si>
  <si>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</si>
  <si>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</si>
  <si>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</si>
  <si>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</si>
  <si>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</si>
  <si>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</si>
  <si>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</si>
  <si>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</si>
  <si>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</si>
  <si>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</si>
  <si>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</si>
  <si>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</si>
  <si>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</si>
  <si>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</si>
  <si>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</si>
  <si>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</si>
  <si>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</si>
  <si>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</si>
  <si>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</si>
  <si>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</si>
  <si>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</si>
  <si>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</si>
  <si>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</si>
  <si>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</si>
  <si>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</si>
  <si>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</si>
  <si>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</si>
  <si>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</si>
  <si>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</si>
  <si>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</si>
  <si>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</si>
  <si>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</si>
  <si>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</si>
  <si>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</si>
  <si>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</si>
  <si>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</si>
  <si>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</si>
  <si>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</si>
  <si>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</si>
  <si>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</si>
  <si>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</si>
  <si>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</si>
  <si>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</si>
  <si>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</si>
  <si>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</si>
  <si>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</si>
  <si>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</si>
  <si>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</si>
  <si>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</si>
  <si>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</si>
  <si>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</si>
  <si>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</si>
  <si>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</si>
  <si>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</si>
  <si>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</si>
  <si>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</si>
  <si>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</si>
  <si>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</si>
  <si>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</si>
  <si>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</si>
  <si>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</si>
  <si>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</si>
  <si>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</si>
  <si>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</si>
  <si>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</si>
  <si>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</si>
  <si>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</si>
  <si>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</si>
  <si>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</si>
  <si>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</si>
  <si>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</si>
  <si>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</si>
  <si>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</si>
  <si>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</si>
  <si>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</si>
  <si>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</si>
  <si>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</si>
  <si>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</si>
  <si>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</si>
  <si>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</si>
  <si>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</si>
  <si>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</si>
  <si>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</si>
  <si>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</si>
  <si>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</si>
  <si>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</si>
  <si>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</si>
  <si>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</si>
  <si>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</si>
  <si>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</si>
  <si>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</si>
  <si>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</si>
  <si>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</si>
  <si>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</si>
  <si>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</si>
  <si>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</si>
  <si>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</si>
  <si>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</si>
  <si>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</si>
  <si>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</si>
  <si>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</si>
  <si>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</si>
  <si>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</si>
  <si>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</si>
  <si>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</si>
  <si>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</si>
  <si>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</si>
  <si>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</si>
  <si>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</si>
  <si>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</si>
  <si>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</si>
  <si>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</si>
  <si>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</si>
  <si>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</si>
  <si>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</si>
  <si>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</si>
  <si>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</si>
  <si>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</si>
  <si>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</si>
  <si>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</si>
  <si>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</si>
  <si>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</si>
  <si>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</si>
  <si>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</si>
  <si>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</si>
  <si>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</si>
  <si>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</si>
  <si>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</si>
  <si>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</si>
  <si>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</si>
  <si>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</si>
  <si>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</si>
  <si>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</si>
  <si>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</si>
  <si>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</si>
  <si>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</si>
  <si>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</si>
  <si>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</si>
  <si>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</si>
  <si>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</si>
  <si>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</si>
  <si>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</si>
  <si>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</si>
  <si>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</si>
  <si>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</si>
  <si>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</si>
  <si>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</si>
  <si>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</si>
  <si>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</si>
  <si>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</si>
  <si>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</si>
  <si>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</si>
  <si>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</si>
  <si>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</si>
  <si>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</si>
  <si>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</si>
  <si>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</si>
  <si>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</si>
  <si>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</si>
  <si>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</si>
  <si>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</si>
  <si>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</si>
  <si>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</si>
  <si>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</si>
  <si>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</si>
  <si>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</si>
  <si>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</si>
  <si>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</si>
  <si>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</si>
  <si>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</si>
  <si>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</si>
  <si>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</si>
  <si>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</si>
  <si>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</si>
  <si>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</si>
  <si>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</si>
  <si>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</si>
  <si>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</si>
  <si>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</si>
  <si>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</si>
  <si>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</si>
  <si>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</si>
  <si>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</si>
  <si>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</si>
  <si>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</si>
  <si>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</si>
  <si>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</si>
  <si>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</si>
  <si>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</si>
  <si>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</si>
  <si>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</si>
  <si>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</si>
  <si>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</si>
  <si>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</si>
  <si>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</si>
  <si>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</si>
  <si>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</si>
  <si>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</si>
  <si>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</si>
  <si>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</si>
  <si>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</si>
  <si>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</si>
  <si>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</si>
  <si>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</si>
  <si>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</si>
  <si>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</si>
  <si>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</si>
  <si>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</si>
  <si>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</si>
  <si>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</si>
  <si>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</si>
  <si>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</si>
  <si>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</si>
  <si>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</si>
  <si>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</si>
  <si>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</si>
  <si>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</si>
  <si>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</si>
  <si>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</si>
  <si>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</si>
  <si>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</si>
  <si>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</si>
  <si>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</si>
  <si>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</si>
  <si>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</si>
  <si>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</si>
  <si>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</si>
  <si>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</si>
  <si>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</si>
  <si>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</si>
  <si>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</si>
  <si>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</si>
  <si>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</si>
  <si>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</si>
  <si>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</si>
  <si>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</si>
  <si>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</si>
  <si>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</si>
  <si>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</si>
  <si>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</si>
  <si>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</si>
  <si>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</si>
  <si>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</si>
  <si>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</si>
  <si>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</si>
  <si>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</si>
  <si>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</si>
  <si>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</si>
  <si>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</si>
  <si>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</si>
  <si>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</si>
  <si>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</si>
  <si>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</si>
  <si>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</si>
  <si>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</si>
  <si>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</si>
  <si>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</si>
  <si>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</si>
  <si>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</si>
  <si>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</si>
  <si>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</si>
  <si>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</si>
  <si>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</si>
  <si>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</si>
  <si>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</si>
  <si>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</si>
  <si>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</si>
  <si>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</si>
  <si>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</si>
  <si>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</si>
  <si>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</si>
  <si>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</si>
  <si>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</si>
  <si>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</si>
  <si>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</si>
  <si>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</si>
  <si>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</si>
  <si>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</si>
  <si>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</si>
  <si>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</si>
  <si>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</si>
  <si>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</si>
  <si>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</si>
  <si>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</si>
  <si>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</si>
  <si>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</si>
  <si>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</si>
  <si>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</si>
  <si>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</si>
  <si>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</si>
  <si>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</si>
  <si>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</si>
  <si>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</si>
  <si>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</si>
  <si>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</si>
  <si>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</si>
  <si>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</si>
  <si>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</si>
  <si>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</si>
  <si>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</si>
  <si>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</si>
  <si>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</si>
  <si>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</si>
  <si>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</si>
  <si>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</si>
  <si>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</si>
  <si>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</si>
  <si>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</si>
  <si>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</si>
  <si>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</si>
  <si>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</si>
  <si>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</si>
  <si>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</si>
  <si>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</si>
  <si>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</si>
  <si>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</si>
  <si>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</si>
  <si>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</si>
  <si>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</si>
  <si>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</si>
  <si>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</si>
  <si>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</si>
  <si>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</si>
  <si>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</si>
  <si>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</si>
  <si>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</si>
  <si>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</si>
  <si>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</si>
  <si>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</si>
  <si>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</si>
  <si>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</si>
  <si>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</si>
  <si>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</si>
  <si>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</si>
  <si>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</si>
  <si>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</si>
  <si>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</si>
  <si>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</si>
  <si>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</si>
  <si>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</si>
  <si>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</si>
  <si>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</si>
  <si>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</si>
  <si>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</si>
  <si>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</si>
  <si>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</si>
  <si>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</si>
  <si>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</si>
  <si>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</si>
  <si>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</si>
  <si>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</si>
  <si>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</si>
  <si>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</si>
  <si>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</si>
  <si>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</si>
  <si>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</si>
  <si>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</si>
  <si>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</si>
  <si>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</si>
  <si>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</si>
  <si>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</si>
  <si>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</si>
  <si>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</si>
  <si>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</si>
  <si>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</si>
  <si>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</si>
  <si>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</si>
  <si>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</si>
  <si>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</si>
  <si>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</si>
  <si>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</si>
  <si>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</si>
  <si>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</si>
  <si>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</si>
  <si>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</si>
  <si>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</si>
  <si>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</si>
  <si>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</si>
  <si>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</si>
  <si>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</si>
  <si>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</si>
  <si>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</si>
  <si>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</si>
  <si>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</si>
  <si>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</si>
  <si>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</si>
  <si>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</si>
  <si>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</si>
  <si>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</si>
  <si>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</si>
  <si>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</si>
  <si>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</si>
  <si>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</si>
  <si>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</si>
  <si>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</si>
  <si>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</si>
  <si>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</si>
  <si>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</si>
  <si>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</si>
  <si>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</si>
  <si>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</si>
  <si>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</si>
  <si>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</si>
  <si>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</si>
  <si>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</si>
  <si>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</si>
  <si>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</si>
  <si>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</si>
  <si>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</si>
  <si>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</si>
  <si>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</si>
  <si>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</si>
  <si>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</si>
  <si>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</si>
  <si>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</si>
  <si>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</si>
  <si>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</si>
  <si>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</si>
  <si>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</si>
  <si>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</si>
  <si>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</si>
  <si>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</si>
  <si>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</si>
  <si>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</si>
  <si>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</si>
  <si>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</si>
  <si>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</si>
  <si>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</si>
  <si>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</si>
  <si>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</si>
  <si>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</si>
  <si>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</si>
  <si>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</si>
  <si>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</si>
  <si>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</si>
  <si>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</si>
  <si>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</si>
  <si>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</si>
  <si>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</si>
  <si>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</si>
  <si>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</si>
  <si>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</si>
  <si>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</si>
  <si>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</si>
  <si>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</si>
  <si>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</si>
  <si>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</si>
  <si>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</si>
  <si>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</si>
  <si>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</si>
  <si>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</si>
  <si>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</si>
  <si>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</si>
  <si>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</si>
  <si>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</si>
  <si>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</si>
  <si>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</si>
  <si>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</si>
  <si>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</si>
  <si>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</si>
  <si>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</si>
  <si>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</si>
  <si>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</si>
  <si>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</si>
  <si>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</si>
  <si>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</si>
  <si>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</si>
  <si>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</si>
  <si>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</si>
  <si>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</si>
  <si>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</si>
  <si>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</si>
  <si>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</si>
  <si>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</si>
  <si>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</si>
  <si>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</si>
  <si>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</si>
  <si>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</si>
  <si>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</si>
  <si>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</si>
  <si>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</si>
  <si>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</si>
  <si>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</si>
  <si>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</si>
  <si>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</si>
  <si>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</si>
  <si>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</si>
  <si>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</si>
  <si>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</si>
  <si>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</si>
  <si>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</si>
  <si>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</si>
  <si>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</si>
  <si>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</si>
  <si>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</si>
  <si>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</si>
  <si>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</si>
  <si>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</si>
  <si>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</si>
  <si>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</si>
  <si>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</si>
  <si>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</si>
  <si>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</si>
  <si>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</si>
  <si>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</si>
  <si>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</si>
  <si>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</si>
  <si>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</si>
  <si>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</si>
  <si>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</si>
  <si>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</si>
  <si>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</si>
  <si>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</si>
  <si>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</si>
  <si>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</si>
  <si>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</si>
  <si>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</si>
  <si>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</si>
  <si>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</si>
  <si>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</si>
  <si>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</si>
  <si>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</si>
  <si>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</si>
  <si>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</si>
  <si>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</si>
  <si>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</si>
  <si>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</si>
  <si>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</si>
  <si>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</si>
  <si>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</si>
  <si>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</si>
  <si>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</si>
  <si>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</si>
  <si>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</si>
  <si>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</si>
  <si>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</si>
  <si>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</si>
  <si>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</si>
  <si>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</si>
  <si>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</si>
  <si>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</si>
  <si>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</si>
  <si>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</si>
  <si>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</si>
  <si>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</si>
  <si>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</si>
  <si>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</si>
  <si>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</si>
  <si>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</si>
  <si>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</si>
  <si>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</si>
  <si>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</si>
  <si>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</si>
  <si>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</si>
  <si>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</si>
  <si>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</si>
  <si>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</si>
  <si>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</si>
  <si>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</si>
  <si>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</si>
  <si>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</si>
  <si>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</si>
  <si>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</si>
  <si>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</si>
  <si>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</si>
  <si>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</si>
  <si>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</si>
  <si>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</si>
  <si>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</si>
  <si>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</si>
  <si>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</si>
  <si>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</si>
  <si>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</si>
  <si>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</si>
  <si>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</si>
  <si>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</si>
  <si>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</si>
  <si>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</si>
  <si>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</si>
  <si>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</si>
  <si>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</si>
  <si>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</si>
  <si>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</si>
  <si>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</si>
  <si>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</si>
  <si>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</si>
  <si>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</si>
  <si>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</si>
  <si>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</si>
  <si>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</si>
  <si>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</si>
  <si>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</si>
  <si>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</si>
  <si>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</si>
  <si>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</si>
  <si>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</si>
  <si>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</si>
  <si>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</si>
  <si>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</si>
  <si>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</si>
  <si>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</si>
  <si>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</si>
  <si>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</si>
  <si>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</si>
  <si>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</si>
  <si>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</si>
  <si>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</si>
  <si>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</si>
  <si>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</si>
  <si>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</si>
  <si>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</si>
  <si>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</si>
  <si>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</si>
  <si>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</si>
  <si>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</si>
  <si>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</si>
  <si>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</si>
  <si>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</si>
  <si>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</si>
  <si>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</si>
  <si>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</si>
  <si>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</si>
  <si>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</si>
  <si>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</si>
  <si>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</si>
  <si>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</si>
  <si>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</si>
  <si>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</si>
  <si>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</si>
  <si>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</si>
  <si>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</si>
  <si>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</si>
  <si>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</si>
  <si>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</si>
  <si>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</si>
  <si>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</si>
  <si>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</si>
  <si>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</si>
  <si>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</si>
  <si>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</si>
  <si>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</si>
  <si>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</si>
  <si>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</si>
  <si>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</si>
  <si>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</si>
  <si>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</si>
  <si>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</si>
  <si>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</si>
  <si>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</si>
  <si>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</si>
  <si>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</si>
  <si>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</si>
  <si>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</si>
  <si>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</si>
  <si>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</si>
  <si>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</si>
  <si>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</si>
  <si>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</si>
  <si>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</si>
  <si>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</si>
  <si>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</si>
  <si>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</si>
  <si>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</si>
  <si>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</si>
  <si>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</si>
  <si>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</si>
  <si>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</si>
  <si>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</si>
  <si>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</si>
  <si>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</si>
  <si>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</si>
  <si>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</si>
  <si>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</si>
  <si>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</si>
  <si>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</si>
  <si>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</si>
  <si>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</si>
  <si>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</si>
  <si>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</si>
  <si>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</si>
  <si>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</si>
  <si>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</si>
  <si>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</si>
  <si>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</si>
  <si>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</si>
  <si>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</si>
  <si>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</si>
  <si>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</si>
  <si>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</si>
  <si>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</si>
  <si>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</si>
  <si>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</si>
  <si>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</si>
  <si>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</si>
  <si>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</si>
  <si>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</si>
  <si>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</si>
  <si>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</si>
  <si>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</si>
  <si>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</si>
  <si>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</si>
  <si>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</si>
  <si>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</si>
  <si>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</si>
  <si>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</si>
  <si>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</si>
  <si>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</si>
  <si>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</si>
  <si>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</si>
  <si>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</si>
  <si>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</si>
  <si>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</si>
  <si>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</si>
  <si>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</si>
  <si>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</si>
  <si>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</si>
  <si>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</si>
  <si>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</si>
  <si>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</si>
  <si>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</si>
  <si>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</si>
  <si>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</si>
  <si>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</si>
  <si>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</si>
  <si>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</si>
  <si>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</si>
  <si>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</si>
  <si>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</si>
  <si>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</si>
  <si>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</si>
  <si>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</si>
  <si>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</si>
  <si>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</si>
  <si>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</si>
  <si>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</si>
  <si>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</si>
  <si>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</si>
  <si>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</si>
  <si>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</si>
  <si>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</si>
  <si>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</si>
  <si>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</si>
  <si>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</si>
  <si>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</si>
  <si>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</si>
  <si>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</si>
  <si>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</si>
  <si>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</si>
  <si>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</si>
  <si>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</si>
  <si>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</si>
  <si>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</si>
  <si>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</si>
  <si>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</si>
  <si>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</si>
  <si>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</si>
  <si>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</si>
  <si>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</si>
  <si>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</si>
  <si>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</si>
  <si>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</si>
  <si>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</si>
  <si>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</si>
  <si>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</si>
  <si>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</si>
  <si>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</si>
  <si>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</si>
  <si>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</si>
  <si>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</si>
  <si>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</si>
  <si>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</si>
  <si>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</si>
  <si>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</si>
  <si>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</si>
  <si>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</si>
  <si>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</si>
  <si>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</si>
  <si>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</si>
  <si>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</si>
  <si>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</si>
  <si>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</si>
  <si>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</si>
  <si>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</si>
  <si>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</si>
  <si>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</si>
  <si>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</si>
  <si>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</si>
  <si>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</si>
  <si>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</si>
  <si>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</si>
  <si>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</si>
  <si>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</si>
  <si>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</si>
  <si>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</si>
  <si>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</si>
  <si>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</si>
  <si>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</si>
  <si>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</si>
  <si>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</si>
  <si>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</si>
  <si>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</si>
  <si>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</si>
  <si>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</si>
  <si>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</si>
  <si>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</si>
  <si>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</si>
  <si>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</si>
  <si>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</si>
  <si>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</si>
  <si>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</si>
  <si>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</si>
  <si>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</si>
  <si>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</si>
  <si>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</si>
  <si>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</si>
  <si>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</si>
  <si>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</si>
  <si>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71053</t>
  </si>
  <si>
    <t>SINT-TRUIDEN</t>
  </si>
  <si>
    <t>Paarden&amp;pony's 200 - 600 kg</t>
  </si>
  <si>
    <t>Paarden&amp;pony's &lt; 200 kg</t>
  </si>
  <si>
    <t>Fluvius</t>
  </si>
  <si>
    <t>referentietaak LNE (2017); Jaarverslag De Lijn</t>
  </si>
  <si>
    <t>Flemings - Hayen Marcel</t>
  </si>
  <si>
    <t>Stokstraat 124 , 3800 Sint-Truiden</t>
  </si>
  <si>
    <t>WKK-0230 Flemings-Hayen Marcel</t>
  </si>
  <si>
    <t>interne verbrandingsmotor</t>
  </si>
  <si>
    <t>WKK interne verbrandinsgmotor (gas)</t>
  </si>
  <si>
    <t>Inter-Energa</t>
  </si>
  <si>
    <t>Aquafin NV</t>
  </si>
  <si>
    <t>Dijkstraat 8, 2630 Aartselaar</t>
  </si>
  <si>
    <t>BGS-0003 Sint-Truiden</t>
  </si>
  <si>
    <t>biogas - RWZI</t>
  </si>
  <si>
    <t>niet WKK interne verbrandingsmotor (gas)</t>
  </si>
  <si>
    <t>Grazenseweg 13 , 3803 Runkelen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</si>
</sst>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71053</v>
      </c>
      <c r="B6" s="386"/>
      <c r="C6" s="387"/>
    </row>
    <row r="7" spans="1:7" s="384" customFormat="1" ht="15.75" customHeight="1">
      <c r="A7" s="388" t="str">
        <f>txtMunicipality</f>
        <v>SINT-TRUIDEN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94334.97500000002</v>
      </c>
      <c r="D10" s="676">
        <f ca="1">tertiair!C16</f>
        <v>34.071428571428577</v>
      </c>
      <c r="E10" s="676">
        <f ca="1">tertiair!D16</f>
        <v>81255.333772857135</v>
      </c>
      <c r="F10" s="676">
        <f>tertiair!E16</f>
        <v>699.76382073073069</v>
      </c>
      <c r="G10" s="676">
        <f ca="1">tertiair!F16</f>
        <v>19297.905576840414</v>
      </c>
      <c r="H10" s="676">
        <f>tertiair!G16</f>
        <v>0</v>
      </c>
      <c r="I10" s="676">
        <f>tertiair!H16</f>
        <v>0</v>
      </c>
      <c r="J10" s="676">
        <f>tertiair!I16</f>
        <v>0</v>
      </c>
      <c r="K10" s="676">
        <f>tertiair!J16</f>
        <v>0</v>
      </c>
      <c r="L10" s="676">
        <f>tertiair!K16</f>
        <v>0</v>
      </c>
      <c r="M10" s="676">
        <f ca="1">tertiair!L16</f>
        <v>0</v>
      </c>
      <c r="N10" s="676">
        <f>tertiair!M16</f>
        <v>0</v>
      </c>
      <c r="O10" s="676">
        <f ca="1">tertiair!N16</f>
        <v>3315.2278266028216</v>
      </c>
      <c r="P10" s="676">
        <f>tertiair!O16</f>
        <v>0</v>
      </c>
      <c r="Q10" s="677">
        <f>tertiair!P16</f>
        <v>38.133333333333333</v>
      </c>
      <c r="R10" s="679">
        <f ca="1">SUM(C10:Q10)</f>
        <v>198975.4107589359</v>
      </c>
      <c r="S10" s="68"/>
    </row>
    <row r="11" spans="1:19" s="445" customFormat="1">
      <c r="A11" s="791" t="s">
        <v>220</v>
      </c>
      <c r="B11" s="796"/>
      <c r="C11" s="676">
        <f>huishoudens!B8</f>
        <v>69325.069565019017</v>
      </c>
      <c r="D11" s="676">
        <f>huishoudens!C8</f>
        <v>0</v>
      </c>
      <c r="E11" s="676">
        <f>huishoudens!D8</f>
        <v>148449.97296800002</v>
      </c>
      <c r="F11" s="676">
        <f>huishoudens!E8</f>
        <v>3866.8938136333213</v>
      </c>
      <c r="G11" s="676">
        <f>huishoudens!F8</f>
        <v>117890.36564087344</v>
      </c>
      <c r="H11" s="676">
        <f>huishoudens!G8</f>
        <v>0</v>
      </c>
      <c r="I11" s="676">
        <f>huishoudens!H8</f>
        <v>0</v>
      </c>
      <c r="J11" s="676">
        <f>huishoudens!I8</f>
        <v>0</v>
      </c>
      <c r="K11" s="676">
        <f>huishoudens!J8</f>
        <v>2139.0796061468773</v>
      </c>
      <c r="L11" s="676">
        <f>huishoudens!K8</f>
        <v>0</v>
      </c>
      <c r="M11" s="676">
        <f>huishoudens!L8</f>
        <v>0</v>
      </c>
      <c r="N11" s="676">
        <f>huishoudens!M8</f>
        <v>0</v>
      </c>
      <c r="O11" s="676">
        <f>huishoudens!N8</f>
        <v>24685.621975896895</v>
      </c>
      <c r="P11" s="676">
        <f>huishoudens!O8</f>
        <v>109.43333333333334</v>
      </c>
      <c r="Q11" s="677">
        <f>huishoudens!P8</f>
        <v>705.4666666666667</v>
      </c>
      <c r="R11" s="679">
        <f>SUM(C11:Q11)</f>
        <v>367171.90356956958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85415.497999999992</v>
      </c>
      <c r="D13" s="676">
        <f>industrie!C18</f>
        <v>0</v>
      </c>
      <c r="E13" s="676">
        <f>industrie!D18</f>
        <v>102341.49367200001</v>
      </c>
      <c r="F13" s="676">
        <f>industrie!E18</f>
        <v>790.47274699627008</v>
      </c>
      <c r="G13" s="676">
        <f>industrie!F18</f>
        <v>13583.691756001936</v>
      </c>
      <c r="H13" s="676">
        <f>industrie!G18</f>
        <v>0</v>
      </c>
      <c r="I13" s="676">
        <f>industrie!H18</f>
        <v>0</v>
      </c>
      <c r="J13" s="676">
        <f>industrie!I18</f>
        <v>0</v>
      </c>
      <c r="K13" s="676">
        <f>industrie!J18</f>
        <v>1122.2116768869507</v>
      </c>
      <c r="L13" s="676">
        <f>industrie!K18</f>
        <v>0</v>
      </c>
      <c r="M13" s="676">
        <f>industrie!L18</f>
        <v>0</v>
      </c>
      <c r="N13" s="676">
        <f>industrie!M18</f>
        <v>0</v>
      </c>
      <c r="O13" s="676">
        <f>industrie!N18</f>
        <v>767.26074163695648</v>
      </c>
      <c r="P13" s="676">
        <f>industrie!O18</f>
        <v>0</v>
      </c>
      <c r="Q13" s="677">
        <f>industrie!P18</f>
        <v>0</v>
      </c>
      <c r="R13" s="679">
        <f>SUM(C13:Q13)</f>
        <v>204020.62859352209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249075.54256501902</v>
      </c>
      <c r="D16" s="709">
        <f t="shared" ref="D16:R16" ca="1" si="0">SUM(D9:D15)</f>
        <v>34.071428571428577</v>
      </c>
      <c r="E16" s="709">
        <f t="shared" ca="1" si="0"/>
        <v>332046.80041285715</v>
      </c>
      <c r="F16" s="709">
        <f t="shared" si="0"/>
        <v>5357.1303813603217</v>
      </c>
      <c r="G16" s="709">
        <f t="shared" ca="1" si="0"/>
        <v>150771.9629737158</v>
      </c>
      <c r="H16" s="709">
        <f t="shared" si="0"/>
        <v>0</v>
      </c>
      <c r="I16" s="709">
        <f t="shared" si="0"/>
        <v>0</v>
      </c>
      <c r="J16" s="709">
        <f t="shared" si="0"/>
        <v>0</v>
      </c>
      <c r="K16" s="709">
        <f t="shared" si="0"/>
        <v>3261.2912830338282</v>
      </c>
      <c r="L16" s="709">
        <f t="shared" si="0"/>
        <v>0</v>
      </c>
      <c r="M16" s="709">
        <f t="shared" ca="1" si="0"/>
        <v>0</v>
      </c>
      <c r="N16" s="709">
        <f t="shared" si="0"/>
        <v>0</v>
      </c>
      <c r="O16" s="709">
        <f t="shared" ca="1" si="0"/>
        <v>28768.110544136674</v>
      </c>
      <c r="P16" s="709">
        <f t="shared" si="0"/>
        <v>109.43333333333334</v>
      </c>
      <c r="Q16" s="709">
        <f t="shared" si="0"/>
        <v>743.6</v>
      </c>
      <c r="R16" s="709">
        <f t="shared" ca="1" si="0"/>
        <v>770167.94292202755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29.747965960343972</v>
      </c>
      <c r="D19" s="676">
        <f>transport!C54</f>
        <v>0</v>
      </c>
      <c r="E19" s="676">
        <f>transport!D54</f>
        <v>0</v>
      </c>
      <c r="F19" s="676">
        <f>transport!E54</f>
        <v>0</v>
      </c>
      <c r="G19" s="676">
        <f>transport!F54</f>
        <v>0</v>
      </c>
      <c r="H19" s="676">
        <f>transport!G54</f>
        <v>5933.2904608494646</v>
      </c>
      <c r="I19" s="676">
        <f>transport!H54</f>
        <v>0</v>
      </c>
      <c r="J19" s="676">
        <f>transport!I54</f>
        <v>0</v>
      </c>
      <c r="K19" s="676">
        <f>transport!J54</f>
        <v>0</v>
      </c>
      <c r="L19" s="676">
        <f>transport!K54</f>
        <v>0</v>
      </c>
      <c r="M19" s="676">
        <f>transport!L54</f>
        <v>0</v>
      </c>
      <c r="N19" s="676">
        <f>transport!M54</f>
        <v>262.24511906047996</v>
      </c>
      <c r="O19" s="676">
        <f>transport!N54</f>
        <v>0</v>
      </c>
      <c r="P19" s="676">
        <f>transport!O54</f>
        <v>0</v>
      </c>
      <c r="Q19" s="677">
        <f>transport!P54</f>
        <v>0</v>
      </c>
      <c r="R19" s="679">
        <f>SUM(C19:Q19)</f>
        <v>6225.2835458702884</v>
      </c>
      <c r="S19" s="68"/>
    </row>
    <row r="20" spans="1:19" s="445" customFormat="1">
      <c r="A20" s="791" t="s">
        <v>302</v>
      </c>
      <c r="B20" s="796"/>
      <c r="C20" s="676">
        <f>transport!B14</f>
        <v>14.249336427999495</v>
      </c>
      <c r="D20" s="676">
        <f>transport!C14</f>
        <v>0</v>
      </c>
      <c r="E20" s="676">
        <f>transport!D14</f>
        <v>18.568009966951916</v>
      </c>
      <c r="F20" s="676">
        <f>transport!E14</f>
        <v>1182.308209716492</v>
      </c>
      <c r="G20" s="676">
        <f>transport!F14</f>
        <v>0</v>
      </c>
      <c r="H20" s="676">
        <f>transport!G14</f>
        <v>262703.04302151751</v>
      </c>
      <c r="I20" s="676">
        <f>transport!H14</f>
        <v>44549.939925249331</v>
      </c>
      <c r="J20" s="676">
        <f>transport!I14</f>
        <v>0</v>
      </c>
      <c r="K20" s="676">
        <f>transport!J14</f>
        <v>0</v>
      </c>
      <c r="L20" s="676">
        <f>transport!K14</f>
        <v>0</v>
      </c>
      <c r="M20" s="676">
        <f>transport!L14</f>
        <v>0</v>
      </c>
      <c r="N20" s="676">
        <f>transport!M14</f>
        <v>13729.774184071011</v>
      </c>
      <c r="O20" s="676">
        <f>transport!N14</f>
        <v>0</v>
      </c>
      <c r="P20" s="676">
        <f>transport!O14</f>
        <v>0</v>
      </c>
      <c r="Q20" s="677">
        <f>transport!P14</f>
        <v>0</v>
      </c>
      <c r="R20" s="679">
        <f>SUM(C20:Q20)</f>
        <v>322197.88268694928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43.997302388343471</v>
      </c>
      <c r="D22" s="794">
        <f t="shared" ref="D22:R22" si="1">SUM(D18:D21)</f>
        <v>0</v>
      </c>
      <c r="E22" s="794">
        <f t="shared" si="1"/>
        <v>18.568009966951916</v>
      </c>
      <c r="F22" s="794">
        <f t="shared" si="1"/>
        <v>1182.308209716492</v>
      </c>
      <c r="G22" s="794">
        <f t="shared" si="1"/>
        <v>0</v>
      </c>
      <c r="H22" s="794">
        <f t="shared" si="1"/>
        <v>268636.33348236699</v>
      </c>
      <c r="I22" s="794">
        <f t="shared" si="1"/>
        <v>44549.939925249331</v>
      </c>
      <c r="J22" s="794">
        <f t="shared" si="1"/>
        <v>0</v>
      </c>
      <c r="K22" s="794">
        <f t="shared" si="1"/>
        <v>0</v>
      </c>
      <c r="L22" s="794">
        <f t="shared" si="1"/>
        <v>0</v>
      </c>
      <c r="M22" s="794">
        <f t="shared" si="1"/>
        <v>0</v>
      </c>
      <c r="N22" s="794">
        <f t="shared" si="1"/>
        <v>13992.019303131492</v>
      </c>
      <c r="O22" s="794">
        <f t="shared" si="1"/>
        <v>0</v>
      </c>
      <c r="P22" s="794">
        <f t="shared" si="1"/>
        <v>0</v>
      </c>
      <c r="Q22" s="794">
        <f t="shared" si="1"/>
        <v>0</v>
      </c>
      <c r="R22" s="794">
        <f t="shared" si="1"/>
        <v>328423.16623281955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8998.75</v>
      </c>
      <c r="D24" s="676">
        <f>+landbouw!C8</f>
        <v>0</v>
      </c>
      <c r="E24" s="676">
        <f>+landbouw!D8</f>
        <v>4128.2979540000006</v>
      </c>
      <c r="F24" s="676">
        <f>+landbouw!E8</f>
        <v>84.77425436028166</v>
      </c>
      <c r="G24" s="676">
        <f>+landbouw!F8</f>
        <v>29365.907672847599</v>
      </c>
      <c r="H24" s="676">
        <f>+landbouw!G8</f>
        <v>0</v>
      </c>
      <c r="I24" s="676">
        <f>+landbouw!H8</f>
        <v>0</v>
      </c>
      <c r="J24" s="676">
        <f>+landbouw!I8</f>
        <v>0</v>
      </c>
      <c r="K24" s="676">
        <f>+landbouw!J8</f>
        <v>1113.1891449115919</v>
      </c>
      <c r="L24" s="676">
        <f>+landbouw!K8</f>
        <v>0</v>
      </c>
      <c r="M24" s="676">
        <f>+landbouw!L8</f>
        <v>0</v>
      </c>
      <c r="N24" s="676">
        <f>+landbouw!M8</f>
        <v>0</v>
      </c>
      <c r="O24" s="676">
        <f>+landbouw!N8</f>
        <v>0</v>
      </c>
      <c r="P24" s="676">
        <f>+landbouw!O8</f>
        <v>0</v>
      </c>
      <c r="Q24" s="677">
        <f>+landbouw!P8</f>
        <v>0</v>
      </c>
      <c r="R24" s="679">
        <f>SUM(C24:Q24)</f>
        <v>43690.919026119474</v>
      </c>
      <c r="S24" s="68"/>
    </row>
    <row r="25" spans="1:19" s="445" customFormat="1" ht="15" thickBot="1">
      <c r="A25" s="813" t="s">
        <v>879</v>
      </c>
      <c r="B25" s="979"/>
      <c r="C25" s="980">
        <f>IF(Onbekend_ele_kWh="---",0,Onbekend_ele_kWh)/1000+IF(REST_rest_ele_kWh="---",0,REST_rest_ele_kWh)/1000</f>
        <v>2210.2579999999998</v>
      </c>
      <c r="D25" s="980"/>
      <c r="E25" s="980">
        <f>IF(onbekend_gas_kWh="---",0,onbekend_gas_kWh)/1000+IF(REST_rest_gas_kWh="---",0,REST_rest_gas_kWh)/1000</f>
        <v>9894.2620000000006</v>
      </c>
      <c r="F25" s="980"/>
      <c r="G25" s="980"/>
      <c r="H25" s="980"/>
      <c r="I25" s="980"/>
      <c r="J25" s="980"/>
      <c r="K25" s="980"/>
      <c r="L25" s="980"/>
      <c r="M25" s="980"/>
      <c r="N25" s="980"/>
      <c r="O25" s="980"/>
      <c r="P25" s="980"/>
      <c r="Q25" s="981"/>
      <c r="R25" s="679">
        <f>SUM(C25:Q25)</f>
        <v>12104.52</v>
      </c>
      <c r="S25" s="68"/>
    </row>
    <row r="26" spans="1:19" s="445" customFormat="1" ht="15.75" thickBot="1">
      <c r="A26" s="682" t="s">
        <v>880</v>
      </c>
      <c r="B26" s="799"/>
      <c r="C26" s="794">
        <f>SUM(C24:C25)</f>
        <v>11209.008</v>
      </c>
      <c r="D26" s="794">
        <f t="shared" ref="D26:R26" si="2">SUM(D24:D25)</f>
        <v>0</v>
      </c>
      <c r="E26" s="794">
        <f t="shared" si="2"/>
        <v>14022.559954</v>
      </c>
      <c r="F26" s="794">
        <f t="shared" si="2"/>
        <v>84.77425436028166</v>
      </c>
      <c r="G26" s="794">
        <f t="shared" si="2"/>
        <v>29365.907672847599</v>
      </c>
      <c r="H26" s="794">
        <f t="shared" si="2"/>
        <v>0</v>
      </c>
      <c r="I26" s="794">
        <f t="shared" si="2"/>
        <v>0</v>
      </c>
      <c r="J26" s="794">
        <f t="shared" si="2"/>
        <v>0</v>
      </c>
      <c r="K26" s="794">
        <f t="shared" si="2"/>
        <v>1113.1891449115919</v>
      </c>
      <c r="L26" s="794">
        <f t="shared" si="2"/>
        <v>0</v>
      </c>
      <c r="M26" s="794">
        <f t="shared" si="2"/>
        <v>0</v>
      </c>
      <c r="N26" s="794">
        <f t="shared" si="2"/>
        <v>0</v>
      </c>
      <c r="O26" s="794">
        <f t="shared" si="2"/>
        <v>0</v>
      </c>
      <c r="P26" s="794">
        <f t="shared" si="2"/>
        <v>0</v>
      </c>
      <c r="Q26" s="794">
        <f t="shared" si="2"/>
        <v>0</v>
      </c>
      <c r="R26" s="794">
        <f t="shared" si="2"/>
        <v>55795.439026119479</v>
      </c>
      <c r="S26" s="68"/>
    </row>
    <row r="27" spans="1:19" s="445" customFormat="1" ht="17.25" thickTop="1" thickBot="1">
      <c r="A27" s="683" t="s">
        <v>115</v>
      </c>
      <c r="B27" s="786"/>
      <c r="C27" s="684">
        <f ca="1">C22+C16+C26</f>
        <v>260328.54786740735</v>
      </c>
      <c r="D27" s="684">
        <f t="shared" ref="D27:R27" ca="1" si="3">D22+D16+D26</f>
        <v>34.071428571428577</v>
      </c>
      <c r="E27" s="684">
        <f t="shared" ca="1" si="3"/>
        <v>346087.92837682407</v>
      </c>
      <c r="F27" s="684">
        <f t="shared" si="3"/>
        <v>6624.2128454370959</v>
      </c>
      <c r="G27" s="684">
        <f t="shared" ca="1" si="3"/>
        <v>180137.87064656339</v>
      </c>
      <c r="H27" s="684">
        <f t="shared" si="3"/>
        <v>268636.33348236699</v>
      </c>
      <c r="I27" s="684">
        <f t="shared" si="3"/>
        <v>44549.939925249331</v>
      </c>
      <c r="J27" s="684">
        <f t="shared" si="3"/>
        <v>0</v>
      </c>
      <c r="K27" s="684">
        <f t="shared" si="3"/>
        <v>4374.4804279454202</v>
      </c>
      <c r="L27" s="684">
        <f t="shared" si="3"/>
        <v>0</v>
      </c>
      <c r="M27" s="684">
        <f t="shared" ca="1" si="3"/>
        <v>0</v>
      </c>
      <c r="N27" s="684">
        <f t="shared" si="3"/>
        <v>13992.019303131492</v>
      </c>
      <c r="O27" s="684">
        <f t="shared" ca="1" si="3"/>
        <v>28768.110544136674</v>
      </c>
      <c r="P27" s="684">
        <f t="shared" si="3"/>
        <v>109.43333333333334</v>
      </c>
      <c r="Q27" s="684">
        <f t="shared" si="3"/>
        <v>743.6</v>
      </c>
      <c r="R27" s="684">
        <f t="shared" ca="1" si="3"/>
        <v>1154386.5481809664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19353.654993433094</v>
      </c>
      <c r="D40" s="676">
        <f ca="1">tertiair!C20</f>
        <v>8.0969747899159685</v>
      </c>
      <c r="E40" s="676">
        <f ca="1">tertiair!D20</f>
        <v>16413.577422117141</v>
      </c>
      <c r="F40" s="676">
        <f>tertiair!E20</f>
        <v>158.84638730587588</v>
      </c>
      <c r="G40" s="676">
        <f ca="1">tertiair!F20</f>
        <v>5152.5407890163906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41086.716566662421</v>
      </c>
    </row>
    <row r="41" spans="1:18">
      <c r="A41" s="804" t="s">
        <v>220</v>
      </c>
      <c r="B41" s="811"/>
      <c r="C41" s="676">
        <f ca="1">huishoudens!B12</f>
        <v>14222.651553754336</v>
      </c>
      <c r="D41" s="676">
        <f ca="1">huishoudens!C12</f>
        <v>0</v>
      </c>
      <c r="E41" s="676">
        <f>huishoudens!D12</f>
        <v>29986.894539536006</v>
      </c>
      <c r="F41" s="676">
        <f>huishoudens!E12</f>
        <v>877.78489569476392</v>
      </c>
      <c r="G41" s="676">
        <f>huishoudens!F12</f>
        <v>31476.72762611321</v>
      </c>
      <c r="H41" s="676">
        <f>huishoudens!G12</f>
        <v>0</v>
      </c>
      <c r="I41" s="676">
        <f>huishoudens!H12</f>
        <v>0</v>
      </c>
      <c r="J41" s="676">
        <f>huishoudens!I12</f>
        <v>0</v>
      </c>
      <c r="K41" s="676">
        <f>huishoudens!J12</f>
        <v>757.23418057599451</v>
      </c>
      <c r="L41" s="676">
        <f>huishoudens!K12</f>
        <v>0</v>
      </c>
      <c r="M41" s="676">
        <f>huishoudens!L12</f>
        <v>0</v>
      </c>
      <c r="N41" s="676">
        <f>huishoudens!M12</f>
        <v>0</v>
      </c>
      <c r="O41" s="676">
        <f>huishoudens!N12</f>
        <v>0</v>
      </c>
      <c r="P41" s="676">
        <f>huishoudens!O12</f>
        <v>0</v>
      </c>
      <c r="Q41" s="751">
        <f>huishoudens!P12</f>
        <v>0</v>
      </c>
      <c r="R41" s="832">
        <f t="shared" ca="1" si="4"/>
        <v>77321.292795674308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17523.74534878791</v>
      </c>
      <c r="D43" s="676">
        <f ca="1">industrie!C22</f>
        <v>0</v>
      </c>
      <c r="E43" s="676">
        <f>industrie!D22</f>
        <v>20672.981721744003</v>
      </c>
      <c r="F43" s="676">
        <f>industrie!E22</f>
        <v>179.43731356815331</v>
      </c>
      <c r="G43" s="676">
        <f>industrie!F22</f>
        <v>3626.8456988525172</v>
      </c>
      <c r="H43" s="676">
        <f>industrie!G22</f>
        <v>0</v>
      </c>
      <c r="I43" s="676">
        <f>industrie!H22</f>
        <v>0</v>
      </c>
      <c r="J43" s="676">
        <f>industrie!I22</f>
        <v>0</v>
      </c>
      <c r="K43" s="676">
        <f>industrie!J22</f>
        <v>397.26293361798054</v>
      </c>
      <c r="L43" s="676">
        <f>industrie!K22</f>
        <v>0</v>
      </c>
      <c r="M43" s="676">
        <f>industrie!L22</f>
        <v>0</v>
      </c>
      <c r="N43" s="676">
        <f>industrie!M22</f>
        <v>0</v>
      </c>
      <c r="O43" s="676">
        <f>industrie!N22</f>
        <v>0</v>
      </c>
      <c r="P43" s="676">
        <f>industrie!O22</f>
        <v>0</v>
      </c>
      <c r="Q43" s="751">
        <f>industrie!P22</f>
        <v>0</v>
      </c>
      <c r="R43" s="831">
        <f t="shared" ca="1" si="4"/>
        <v>42400.273016570558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51100.051895975339</v>
      </c>
      <c r="D46" s="709">
        <f t="shared" ref="D46:Q46" ca="1" si="5">SUM(D39:D45)</f>
        <v>8.0969747899159685</v>
      </c>
      <c r="E46" s="709">
        <f t="shared" ca="1" si="5"/>
        <v>67073.453683397151</v>
      </c>
      <c r="F46" s="709">
        <f t="shared" si="5"/>
        <v>1216.0685965687931</v>
      </c>
      <c r="G46" s="709">
        <f t="shared" ca="1" si="5"/>
        <v>40256.114113982112</v>
      </c>
      <c r="H46" s="709">
        <f t="shared" si="5"/>
        <v>0</v>
      </c>
      <c r="I46" s="709">
        <f t="shared" si="5"/>
        <v>0</v>
      </c>
      <c r="J46" s="709">
        <f t="shared" si="5"/>
        <v>0</v>
      </c>
      <c r="K46" s="709">
        <f t="shared" si="5"/>
        <v>1154.497114193975</v>
      </c>
      <c r="L46" s="709">
        <f t="shared" si="5"/>
        <v>0</v>
      </c>
      <c r="M46" s="709">
        <f t="shared" ca="1" si="5"/>
        <v>0</v>
      </c>
      <c r="N46" s="709">
        <f t="shared" si="5"/>
        <v>0</v>
      </c>
      <c r="O46" s="709">
        <f t="shared" ca="1" si="5"/>
        <v>0</v>
      </c>
      <c r="P46" s="709">
        <f t="shared" si="5"/>
        <v>0</v>
      </c>
      <c r="Q46" s="709">
        <f t="shared" si="5"/>
        <v>0</v>
      </c>
      <c r="R46" s="709">
        <f ca="1">SUM(R39:R45)</f>
        <v>160808.28237890729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6.1030584886770649</v>
      </c>
      <c r="D49" s="676">
        <f ca="1">transport!C58</f>
        <v>0</v>
      </c>
      <c r="E49" s="676">
        <f>transport!D58</f>
        <v>0</v>
      </c>
      <c r="F49" s="676">
        <f>transport!E58</f>
        <v>0</v>
      </c>
      <c r="G49" s="676">
        <f>transport!F58</f>
        <v>0</v>
      </c>
      <c r="H49" s="676">
        <f>transport!G58</f>
        <v>1584.1885530468071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1590.2916115354842</v>
      </c>
    </row>
    <row r="50" spans="1:18">
      <c r="A50" s="807" t="s">
        <v>302</v>
      </c>
      <c r="B50" s="817"/>
      <c r="C50" s="986">
        <f ca="1">transport!B18</f>
        <v>2.9233774759876749</v>
      </c>
      <c r="D50" s="986">
        <f>transport!C18</f>
        <v>0</v>
      </c>
      <c r="E50" s="986">
        <f>transport!D18</f>
        <v>3.7507380133242871</v>
      </c>
      <c r="F50" s="986">
        <f>transport!E18</f>
        <v>268.38396360564371</v>
      </c>
      <c r="G50" s="986">
        <f>transport!F18</f>
        <v>0</v>
      </c>
      <c r="H50" s="986">
        <f>transport!G18</f>
        <v>70141.712486745178</v>
      </c>
      <c r="I50" s="986">
        <f>transport!H18</f>
        <v>11092.935041387083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81509.705607227224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9.0264359646647403</v>
      </c>
      <c r="D52" s="709">
        <f t="shared" ref="D52:Q52" ca="1" si="6">SUM(D48:D51)</f>
        <v>0</v>
      </c>
      <c r="E52" s="709">
        <f t="shared" si="6"/>
        <v>3.7507380133242871</v>
      </c>
      <c r="F52" s="709">
        <f t="shared" si="6"/>
        <v>268.38396360564371</v>
      </c>
      <c r="G52" s="709">
        <f t="shared" si="6"/>
        <v>0</v>
      </c>
      <c r="H52" s="709">
        <f t="shared" si="6"/>
        <v>71725.901039791992</v>
      </c>
      <c r="I52" s="709">
        <f t="shared" si="6"/>
        <v>11092.935041387083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83099.997218762714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1846.1732021676585</v>
      </c>
      <c r="D54" s="986">
        <f ca="1">+landbouw!C12</f>
        <v>0</v>
      </c>
      <c r="E54" s="986">
        <f>+landbouw!D12</f>
        <v>833.91618670800017</v>
      </c>
      <c r="F54" s="986">
        <f>+landbouw!E12</f>
        <v>19.243755739783936</v>
      </c>
      <c r="G54" s="986">
        <f>+landbouw!F12</f>
        <v>7840.6973486503093</v>
      </c>
      <c r="H54" s="986">
        <f>+landbouw!G12</f>
        <v>0</v>
      </c>
      <c r="I54" s="986">
        <f>+landbouw!H12</f>
        <v>0</v>
      </c>
      <c r="J54" s="986">
        <f>+landbouw!I12</f>
        <v>0</v>
      </c>
      <c r="K54" s="986">
        <f>+landbouw!J12</f>
        <v>394.06895729870354</v>
      </c>
      <c r="L54" s="986">
        <f>+landbouw!K12</f>
        <v>0</v>
      </c>
      <c r="M54" s="986">
        <f>+landbouw!L12</f>
        <v>0</v>
      </c>
      <c r="N54" s="986">
        <f>+landbouw!M12</f>
        <v>0</v>
      </c>
      <c r="O54" s="986">
        <f>+landbouw!N12</f>
        <v>0</v>
      </c>
      <c r="P54" s="986">
        <f>+landbouw!O12</f>
        <v>0</v>
      </c>
      <c r="Q54" s="987">
        <f>+landbouw!P12</f>
        <v>0</v>
      </c>
      <c r="R54" s="708">
        <f ca="1">SUM(C54:Q54)</f>
        <v>10934.099450564456</v>
      </c>
    </row>
    <row r="55" spans="1:18" ht="15" thickBot="1">
      <c r="A55" s="807" t="s">
        <v>879</v>
      </c>
      <c r="B55" s="817"/>
      <c r="C55" s="986">
        <f ca="1">C25*'EF ele_warmte'!B12</f>
        <v>453.45398966264025</v>
      </c>
      <c r="D55" s="986"/>
      <c r="E55" s="986">
        <f>E25*EF_CO2_aardgas</f>
        <v>1998.6409240000003</v>
      </c>
      <c r="F55" s="986"/>
      <c r="G55" s="986"/>
      <c r="H55" s="986"/>
      <c r="I55" s="986"/>
      <c r="J55" s="986"/>
      <c r="K55" s="986"/>
      <c r="L55" s="986"/>
      <c r="M55" s="986"/>
      <c r="N55" s="986"/>
      <c r="O55" s="986"/>
      <c r="P55" s="986"/>
      <c r="Q55" s="987"/>
      <c r="R55" s="708">
        <f ca="1">SUM(C55:Q55)</f>
        <v>2452.0949136626405</v>
      </c>
    </row>
    <row r="56" spans="1:18" ht="15.75" thickBot="1">
      <c r="A56" s="805" t="s">
        <v>880</v>
      </c>
      <c r="B56" s="818"/>
      <c r="C56" s="709">
        <f ca="1">SUM(C54:C55)</f>
        <v>2299.6271918302987</v>
      </c>
      <c r="D56" s="709">
        <f t="shared" ref="D56:Q56" ca="1" si="7">SUM(D54:D55)</f>
        <v>0</v>
      </c>
      <c r="E56" s="709">
        <f t="shared" si="7"/>
        <v>2832.5571107080004</v>
      </c>
      <c r="F56" s="709">
        <f t="shared" si="7"/>
        <v>19.243755739783936</v>
      </c>
      <c r="G56" s="709">
        <f t="shared" si="7"/>
        <v>7840.6973486503093</v>
      </c>
      <c r="H56" s="709">
        <f t="shared" si="7"/>
        <v>0</v>
      </c>
      <c r="I56" s="709">
        <f t="shared" si="7"/>
        <v>0</v>
      </c>
      <c r="J56" s="709">
        <f t="shared" si="7"/>
        <v>0</v>
      </c>
      <c r="K56" s="709">
        <f t="shared" si="7"/>
        <v>394.06895729870354</v>
      </c>
      <c r="L56" s="709">
        <f t="shared" si="7"/>
        <v>0</v>
      </c>
      <c r="M56" s="709">
        <f t="shared" si="7"/>
        <v>0</v>
      </c>
      <c r="N56" s="709">
        <f t="shared" si="7"/>
        <v>0</v>
      </c>
      <c r="O56" s="709">
        <f t="shared" si="7"/>
        <v>0</v>
      </c>
      <c r="P56" s="709">
        <f t="shared" si="7"/>
        <v>0</v>
      </c>
      <c r="Q56" s="710">
        <f t="shared" si="7"/>
        <v>0</v>
      </c>
      <c r="R56" s="711">
        <f ca="1">SUM(R54:R55)</f>
        <v>13386.194364227096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53408.705523770303</v>
      </c>
      <c r="D61" s="717">
        <f t="shared" ref="D61:Q61" ca="1" si="8">D46+D52+D56</f>
        <v>8.0969747899159685</v>
      </c>
      <c r="E61" s="717">
        <f t="shared" ca="1" si="8"/>
        <v>69909.761532118471</v>
      </c>
      <c r="F61" s="717">
        <f t="shared" si="8"/>
        <v>1503.6963159142206</v>
      </c>
      <c r="G61" s="717">
        <f t="shared" ca="1" si="8"/>
        <v>48096.811462632424</v>
      </c>
      <c r="H61" s="717">
        <f t="shared" si="8"/>
        <v>71725.901039791992</v>
      </c>
      <c r="I61" s="717">
        <f t="shared" si="8"/>
        <v>11092.935041387083</v>
      </c>
      <c r="J61" s="717">
        <f t="shared" si="8"/>
        <v>0</v>
      </c>
      <c r="K61" s="717">
        <f t="shared" si="8"/>
        <v>1548.5660714926785</v>
      </c>
      <c r="L61" s="717">
        <f t="shared" si="8"/>
        <v>0</v>
      </c>
      <c r="M61" s="717">
        <f t="shared" ca="1" si="8"/>
        <v>0</v>
      </c>
      <c r="N61" s="717">
        <f t="shared" si="8"/>
        <v>0</v>
      </c>
      <c r="O61" s="717">
        <f t="shared" ca="1" si="8"/>
        <v>0</v>
      </c>
      <c r="P61" s="717">
        <f t="shared" si="8"/>
        <v>0</v>
      </c>
      <c r="Q61" s="717">
        <f t="shared" si="8"/>
        <v>0</v>
      </c>
      <c r="R61" s="717">
        <f ca="1">R46+R52+R56</f>
        <v>257294.47396189711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0.20515885008113999</v>
      </c>
      <c r="D63" s="761">
        <f t="shared" ca="1" si="9"/>
        <v>0.23764705882352943</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18166.993607600325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23.85</v>
      </c>
      <c r="D76" s="998">
        <f>'lokale energieproductie'!C8</f>
        <v>28.058823529411768</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5.6678823529411773</v>
      </c>
      <c r="R76" s="834">
        <v>0</v>
      </c>
    </row>
    <row r="77" spans="1:18" ht="30.75" thickBot="1">
      <c r="A77" s="730" t="s">
        <v>346</v>
      </c>
      <c r="B77" s="727">
        <f>'lokale energieproductie'!B9*IFERROR(SUM(I77:O77)/SUM(D77:O77),0)</f>
        <v>495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1414.2857142857144</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18661.993607600325</v>
      </c>
      <c r="C78" s="732">
        <f>SUM(C72:C77)</f>
        <v>23.85</v>
      </c>
      <c r="D78" s="733">
        <f t="shared" ref="D78:H78" si="10">SUM(D76:D77)</f>
        <v>28.058823529411768</v>
      </c>
      <c r="E78" s="733">
        <f t="shared" si="10"/>
        <v>0</v>
      </c>
      <c r="F78" s="733">
        <f t="shared" si="10"/>
        <v>0</v>
      </c>
      <c r="G78" s="733">
        <f t="shared" si="10"/>
        <v>0</v>
      </c>
      <c r="H78" s="733">
        <f t="shared" si="10"/>
        <v>0</v>
      </c>
      <c r="I78" s="733">
        <f>SUM(I76:I77)</f>
        <v>0</v>
      </c>
      <c r="J78" s="733">
        <f>SUM(J76:J77)</f>
        <v>1414.2857142857144</v>
      </c>
      <c r="K78" s="733">
        <f t="shared" ref="K78:L78" si="11">SUM(K76:K77)</f>
        <v>0</v>
      </c>
      <c r="L78" s="733">
        <f t="shared" si="11"/>
        <v>0</v>
      </c>
      <c r="M78" s="733">
        <f>SUM(M76:M77)</f>
        <v>0</v>
      </c>
      <c r="N78" s="733">
        <f>SUM(N76:N77)</f>
        <v>0</v>
      </c>
      <c r="O78" s="842">
        <f>SUM(O76:O77)</f>
        <v>0</v>
      </c>
      <c r="P78" s="734">
        <v>0</v>
      </c>
      <c r="Q78" s="734">
        <f>SUM(Q76:Q77)</f>
        <v>5.6678823529411773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34.071428571428577</v>
      </c>
      <c r="D87" s="754">
        <f>'lokale energieproductie'!C17</f>
        <v>40.084033613445385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8.0969747899159685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34.071428571428577</v>
      </c>
      <c r="D90" s="732">
        <f t="shared" ref="D90:H90" si="12">SUM(D87:D89)</f>
        <v>40.084033613445385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8.0969747899159685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69325.069565019017</v>
      </c>
      <c r="C4" s="449">
        <f>huishoudens!C8</f>
        <v>0</v>
      </c>
      <c r="D4" s="449">
        <f>huishoudens!D8</f>
        <v>148449.97296800002</v>
      </c>
      <c r="E4" s="449">
        <f>huishoudens!E8</f>
        <v>3866.8938136333213</v>
      </c>
      <c r="F4" s="449">
        <f>huishoudens!F8</f>
        <v>117890.36564087344</v>
      </c>
      <c r="G4" s="449">
        <f>huishoudens!G8</f>
        <v>0</v>
      </c>
      <c r="H4" s="449">
        <f>huishoudens!H8</f>
        <v>0</v>
      </c>
      <c r="I4" s="449">
        <f>huishoudens!I8</f>
        <v>0</v>
      </c>
      <c r="J4" s="449">
        <f>huishoudens!J8</f>
        <v>2139.0796061468773</v>
      </c>
      <c r="K4" s="449">
        <f>huishoudens!K8</f>
        <v>0</v>
      </c>
      <c r="L4" s="449">
        <f>huishoudens!L8</f>
        <v>0</v>
      </c>
      <c r="M4" s="449">
        <f>huishoudens!M8</f>
        <v>0</v>
      </c>
      <c r="N4" s="449">
        <f>huishoudens!N8</f>
        <v>24685.621975896895</v>
      </c>
      <c r="O4" s="449">
        <f>huishoudens!O8</f>
        <v>109.43333333333334</v>
      </c>
      <c r="P4" s="450">
        <f>huishoudens!P8</f>
        <v>705.4666666666667</v>
      </c>
      <c r="Q4" s="451">
        <f>SUM(B4:P4)</f>
        <v>367171.90356956958</v>
      </c>
    </row>
    <row r="5" spans="1:17">
      <c r="A5" s="448" t="s">
        <v>155</v>
      </c>
      <c r="B5" s="449">
        <f ca="1">tertiair!B16</f>
        <v>91899.192000000025</v>
      </c>
      <c r="C5" s="449">
        <f ca="1">tertiair!C16</f>
        <v>34.071428571428577</v>
      </c>
      <c r="D5" s="449">
        <f ca="1">tertiair!D16</f>
        <v>81255.333772857135</v>
      </c>
      <c r="E5" s="449">
        <f>tertiair!E16</f>
        <v>699.76382073073069</v>
      </c>
      <c r="F5" s="449">
        <f ca="1">tertiair!F16</f>
        <v>19297.905576840414</v>
      </c>
      <c r="G5" s="449">
        <f>tertiair!G16</f>
        <v>0</v>
      </c>
      <c r="H5" s="449">
        <f>tertiair!H16</f>
        <v>0</v>
      </c>
      <c r="I5" s="449">
        <f>tertiair!I16</f>
        <v>0</v>
      </c>
      <c r="J5" s="449">
        <f>tertiair!J16</f>
        <v>0</v>
      </c>
      <c r="K5" s="449">
        <f>tertiair!K16</f>
        <v>0</v>
      </c>
      <c r="L5" s="449">
        <f ca="1">tertiair!L16</f>
        <v>0</v>
      </c>
      <c r="M5" s="449">
        <f>tertiair!M16</f>
        <v>0</v>
      </c>
      <c r="N5" s="449">
        <f ca="1">tertiair!N16</f>
        <v>3315.2278266028216</v>
      </c>
      <c r="O5" s="449">
        <f>tertiair!O16</f>
        <v>0</v>
      </c>
      <c r="P5" s="450">
        <f>tertiair!P16</f>
        <v>38.133333333333333</v>
      </c>
      <c r="Q5" s="448">
        <f t="shared" ref="Q5:Q14" ca="1" si="0">SUM(B5:P5)</f>
        <v>196539.62775893591</v>
      </c>
    </row>
    <row r="6" spans="1:17">
      <c r="A6" s="448" t="s">
        <v>193</v>
      </c>
      <c r="B6" s="449">
        <f>'openbare verlichting'!B8</f>
        <v>2435.7829999999999</v>
      </c>
      <c r="C6" s="449"/>
      <c r="D6" s="449"/>
      <c r="E6" s="449"/>
      <c r="F6" s="449"/>
      <c r="G6" s="449"/>
      <c r="H6" s="449"/>
      <c r="I6" s="449"/>
      <c r="J6" s="449"/>
      <c r="K6" s="449"/>
      <c r="L6" s="449"/>
      <c r="M6" s="449"/>
      <c r="N6" s="449"/>
      <c r="O6" s="449"/>
      <c r="P6" s="450"/>
      <c r="Q6" s="448">
        <f t="shared" si="0"/>
        <v>2435.7829999999999</v>
      </c>
    </row>
    <row r="7" spans="1:17">
      <c r="A7" s="448" t="s">
        <v>111</v>
      </c>
      <c r="B7" s="449">
        <f>landbouw!B8</f>
        <v>8998.75</v>
      </c>
      <c r="C7" s="449">
        <f>landbouw!C8</f>
        <v>0</v>
      </c>
      <c r="D7" s="449">
        <f>landbouw!D8</f>
        <v>4128.2979540000006</v>
      </c>
      <c r="E7" s="449">
        <f>landbouw!E8</f>
        <v>84.77425436028166</v>
      </c>
      <c r="F7" s="449">
        <f>landbouw!F8</f>
        <v>29365.907672847599</v>
      </c>
      <c r="G7" s="449">
        <f>landbouw!G8</f>
        <v>0</v>
      </c>
      <c r="H7" s="449">
        <f>landbouw!H8</f>
        <v>0</v>
      </c>
      <c r="I7" s="449">
        <f>landbouw!I8</f>
        <v>0</v>
      </c>
      <c r="J7" s="449">
        <f>landbouw!J8</f>
        <v>1113.1891449115919</v>
      </c>
      <c r="K7" s="449">
        <f>landbouw!K8</f>
        <v>0</v>
      </c>
      <c r="L7" s="449">
        <f>landbouw!L8</f>
        <v>0</v>
      </c>
      <c r="M7" s="449">
        <f>landbouw!M8</f>
        <v>0</v>
      </c>
      <c r="N7" s="449">
        <f>landbouw!N8</f>
        <v>0</v>
      </c>
      <c r="O7" s="449">
        <f>landbouw!O8</f>
        <v>0</v>
      </c>
      <c r="P7" s="450">
        <f>landbouw!P8</f>
        <v>0</v>
      </c>
      <c r="Q7" s="448">
        <f t="shared" si="0"/>
        <v>43690.919026119474</v>
      </c>
    </row>
    <row r="8" spans="1:17">
      <c r="A8" s="448" t="s">
        <v>671</v>
      </c>
      <c r="B8" s="449">
        <f>industrie!B18</f>
        <v>85415.497999999992</v>
      </c>
      <c r="C8" s="449">
        <f>industrie!C18</f>
        <v>0</v>
      </c>
      <c r="D8" s="449">
        <f>industrie!D18</f>
        <v>102341.49367200001</v>
      </c>
      <c r="E8" s="449">
        <f>industrie!E18</f>
        <v>790.47274699627008</v>
      </c>
      <c r="F8" s="449">
        <f>industrie!F18</f>
        <v>13583.691756001936</v>
      </c>
      <c r="G8" s="449">
        <f>industrie!G18</f>
        <v>0</v>
      </c>
      <c r="H8" s="449">
        <f>industrie!H18</f>
        <v>0</v>
      </c>
      <c r="I8" s="449">
        <f>industrie!I18</f>
        <v>0</v>
      </c>
      <c r="J8" s="449">
        <f>industrie!J18</f>
        <v>1122.2116768869507</v>
      </c>
      <c r="K8" s="449">
        <f>industrie!K18</f>
        <v>0</v>
      </c>
      <c r="L8" s="449">
        <f>industrie!L18</f>
        <v>0</v>
      </c>
      <c r="M8" s="449">
        <f>industrie!M18</f>
        <v>0</v>
      </c>
      <c r="N8" s="449">
        <f>industrie!N18</f>
        <v>767.26074163695648</v>
      </c>
      <c r="O8" s="449">
        <f>industrie!O18</f>
        <v>0</v>
      </c>
      <c r="P8" s="450">
        <f>industrie!P18</f>
        <v>0</v>
      </c>
      <c r="Q8" s="448">
        <f t="shared" si="0"/>
        <v>204020.62859352209</v>
      </c>
    </row>
    <row r="9" spans="1:17" s="454" customFormat="1">
      <c r="A9" s="452" t="s">
        <v>568</v>
      </c>
      <c r="B9" s="453">
        <f>transport!B14</f>
        <v>14.249336427999495</v>
      </c>
      <c r="C9" s="453">
        <f>transport!C14</f>
        <v>0</v>
      </c>
      <c r="D9" s="453">
        <f>transport!D14</f>
        <v>18.568009966951916</v>
      </c>
      <c r="E9" s="453">
        <f>transport!E14</f>
        <v>1182.308209716492</v>
      </c>
      <c r="F9" s="453">
        <f>transport!F14</f>
        <v>0</v>
      </c>
      <c r="G9" s="453">
        <f>transport!G14</f>
        <v>262703.04302151751</v>
      </c>
      <c r="H9" s="453">
        <f>transport!H14</f>
        <v>44549.939925249331</v>
      </c>
      <c r="I9" s="453">
        <f>transport!I14</f>
        <v>0</v>
      </c>
      <c r="J9" s="453">
        <f>transport!J14</f>
        <v>0</v>
      </c>
      <c r="K9" s="453">
        <f>transport!K14</f>
        <v>0</v>
      </c>
      <c r="L9" s="453">
        <f>transport!L14</f>
        <v>0</v>
      </c>
      <c r="M9" s="453">
        <f>transport!M14</f>
        <v>13729.774184071011</v>
      </c>
      <c r="N9" s="453">
        <f>transport!N14</f>
        <v>0</v>
      </c>
      <c r="O9" s="453">
        <f>transport!O14</f>
        <v>0</v>
      </c>
      <c r="P9" s="453">
        <f>transport!P14</f>
        <v>0</v>
      </c>
      <c r="Q9" s="452">
        <f>SUM(B9:P9)</f>
        <v>322197.88268694928</v>
      </c>
    </row>
    <row r="10" spans="1:17">
      <c r="A10" s="448" t="s">
        <v>558</v>
      </c>
      <c r="B10" s="449">
        <f>transport!B54</f>
        <v>29.747965960343972</v>
      </c>
      <c r="C10" s="449">
        <f>transport!C54</f>
        <v>0</v>
      </c>
      <c r="D10" s="449">
        <f>transport!D54</f>
        <v>0</v>
      </c>
      <c r="E10" s="449">
        <f>transport!E54</f>
        <v>0</v>
      </c>
      <c r="F10" s="449">
        <f>transport!F54</f>
        <v>0</v>
      </c>
      <c r="G10" s="449">
        <f>transport!G54</f>
        <v>5933.2904608494646</v>
      </c>
      <c r="H10" s="449">
        <f>transport!H54</f>
        <v>0</v>
      </c>
      <c r="I10" s="449">
        <f>transport!I54</f>
        <v>0</v>
      </c>
      <c r="J10" s="449">
        <f>transport!J54</f>
        <v>0</v>
      </c>
      <c r="K10" s="449">
        <f>transport!K54</f>
        <v>0</v>
      </c>
      <c r="L10" s="449">
        <f>transport!L54</f>
        <v>0</v>
      </c>
      <c r="M10" s="449">
        <f>transport!M54</f>
        <v>262.24511906047996</v>
      </c>
      <c r="N10" s="449">
        <f>transport!N54</f>
        <v>0</v>
      </c>
      <c r="O10" s="449">
        <f>transport!O54</f>
        <v>0</v>
      </c>
      <c r="P10" s="450">
        <f>transport!P54</f>
        <v>0</v>
      </c>
      <c r="Q10" s="448">
        <f t="shared" si="0"/>
        <v>6225.2835458702884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2210.2579999999998</v>
      </c>
      <c r="C14" s="456"/>
      <c r="D14" s="456">
        <f>'SEAP template'!E25</f>
        <v>9894.2620000000006</v>
      </c>
      <c r="E14" s="456"/>
      <c r="F14" s="456"/>
      <c r="G14" s="456"/>
      <c r="H14" s="456"/>
      <c r="I14" s="456"/>
      <c r="J14" s="456"/>
      <c r="K14" s="456"/>
      <c r="L14" s="456"/>
      <c r="M14" s="456"/>
      <c r="N14" s="456"/>
      <c r="O14" s="456"/>
      <c r="P14" s="457"/>
      <c r="Q14" s="448">
        <f t="shared" si="0"/>
        <v>12104.52</v>
      </c>
    </row>
    <row r="15" spans="1:17" s="461" customFormat="1">
      <c r="A15" s="458" t="s">
        <v>562</v>
      </c>
      <c r="B15" s="459">
        <f ca="1">SUM(B4:B14)</f>
        <v>260328.54786740738</v>
      </c>
      <c r="C15" s="459">
        <f t="shared" ref="C15:Q15" ca="1" si="1">SUM(C4:C14)</f>
        <v>34.071428571428577</v>
      </c>
      <c r="D15" s="459">
        <f t="shared" ca="1" si="1"/>
        <v>346087.92837682407</v>
      </c>
      <c r="E15" s="459">
        <f t="shared" si="1"/>
        <v>6624.2128454370959</v>
      </c>
      <c r="F15" s="459">
        <f t="shared" ca="1" si="1"/>
        <v>180137.87064656339</v>
      </c>
      <c r="G15" s="459">
        <f t="shared" si="1"/>
        <v>268636.33348236699</v>
      </c>
      <c r="H15" s="459">
        <f t="shared" si="1"/>
        <v>44549.939925249331</v>
      </c>
      <c r="I15" s="459">
        <f t="shared" si="1"/>
        <v>0</v>
      </c>
      <c r="J15" s="459">
        <f t="shared" si="1"/>
        <v>4374.4804279454202</v>
      </c>
      <c r="K15" s="459">
        <f t="shared" si="1"/>
        <v>0</v>
      </c>
      <c r="L15" s="459">
        <f t="shared" ca="1" si="1"/>
        <v>0</v>
      </c>
      <c r="M15" s="459">
        <f t="shared" si="1"/>
        <v>13992.019303131492</v>
      </c>
      <c r="N15" s="459">
        <f t="shared" ca="1" si="1"/>
        <v>28768.110544136674</v>
      </c>
      <c r="O15" s="459">
        <f t="shared" si="1"/>
        <v>109.43333333333334</v>
      </c>
      <c r="P15" s="459">
        <f t="shared" si="1"/>
        <v>743.6</v>
      </c>
      <c r="Q15" s="459">
        <f t="shared" ca="1" si="1"/>
        <v>1154386.5481809669</v>
      </c>
    </row>
    <row r="17" spans="1:17">
      <c r="A17" s="462" t="s">
        <v>563</v>
      </c>
      <c r="B17" s="766">
        <f ca="1">huishoudens!B10</f>
        <v>0.20515885008113999</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14222.651553754336</v>
      </c>
      <c r="C22" s="449">
        <f t="shared" ref="C22:C32" ca="1" si="3">C4*$C$17</f>
        <v>0</v>
      </c>
      <c r="D22" s="449">
        <f t="shared" ref="D22:D32" si="4">D4*$D$17</f>
        <v>29986.894539536006</v>
      </c>
      <c r="E22" s="449">
        <f t="shared" ref="E22:E32" si="5">E4*$E$17</f>
        <v>877.78489569476392</v>
      </c>
      <c r="F22" s="449">
        <f t="shared" ref="F22:F32" si="6">F4*$F$17</f>
        <v>31476.72762611321</v>
      </c>
      <c r="G22" s="449">
        <f t="shared" ref="G22:G32" si="7">G4*$G$17</f>
        <v>0</v>
      </c>
      <c r="H22" s="449">
        <f t="shared" ref="H22:H32" si="8">H4*$H$17</f>
        <v>0</v>
      </c>
      <c r="I22" s="449">
        <f t="shared" ref="I22:I32" si="9">I4*$I$17</f>
        <v>0</v>
      </c>
      <c r="J22" s="449">
        <f t="shared" ref="J22:J32" si="10">J4*$J$17</f>
        <v>757.23418057599451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77321.292795674308</v>
      </c>
    </row>
    <row r="23" spans="1:17">
      <c r="A23" s="448" t="s">
        <v>155</v>
      </c>
      <c r="B23" s="449">
        <f t="shared" ca="1" si="2"/>
        <v>18853.932554105904</v>
      </c>
      <c r="C23" s="449">
        <f t="shared" ca="1" si="3"/>
        <v>8.0969747899159685</v>
      </c>
      <c r="D23" s="449">
        <f t="shared" ca="1" si="4"/>
        <v>16413.577422117141</v>
      </c>
      <c r="E23" s="449">
        <f t="shared" si="5"/>
        <v>158.84638730587588</v>
      </c>
      <c r="F23" s="449">
        <f t="shared" ca="1" si="6"/>
        <v>5152.5407890163906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40586.994127335231</v>
      </c>
    </row>
    <row r="24" spans="1:17">
      <c r="A24" s="448" t="s">
        <v>193</v>
      </c>
      <c r="B24" s="449">
        <f t="shared" ca="1" si="2"/>
        <v>499.72243932718936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499.72243932718936</v>
      </c>
    </row>
    <row r="25" spans="1:17">
      <c r="A25" s="448" t="s">
        <v>111</v>
      </c>
      <c r="B25" s="449">
        <f t="shared" ca="1" si="2"/>
        <v>1846.1732021676585</v>
      </c>
      <c r="C25" s="449">
        <f t="shared" ca="1" si="3"/>
        <v>0</v>
      </c>
      <c r="D25" s="449">
        <f t="shared" si="4"/>
        <v>833.91618670800017</v>
      </c>
      <c r="E25" s="449">
        <f t="shared" si="5"/>
        <v>19.243755739783936</v>
      </c>
      <c r="F25" s="449">
        <f t="shared" si="6"/>
        <v>7840.6973486503093</v>
      </c>
      <c r="G25" s="449">
        <f t="shared" si="7"/>
        <v>0</v>
      </c>
      <c r="H25" s="449">
        <f t="shared" si="8"/>
        <v>0</v>
      </c>
      <c r="I25" s="449">
        <f t="shared" si="9"/>
        <v>0</v>
      </c>
      <c r="J25" s="449">
        <f t="shared" si="10"/>
        <v>394.06895729870354</v>
      </c>
      <c r="K25" s="449">
        <f t="shared" si="11"/>
        <v>0</v>
      </c>
      <c r="L25" s="449">
        <f t="shared" si="12"/>
        <v>0</v>
      </c>
      <c r="M25" s="449">
        <f t="shared" si="13"/>
        <v>0</v>
      </c>
      <c r="N25" s="449">
        <f t="shared" si="14"/>
        <v>0</v>
      </c>
      <c r="O25" s="449">
        <f t="shared" si="15"/>
        <v>0</v>
      </c>
      <c r="P25" s="450">
        <f t="shared" si="16"/>
        <v>0</v>
      </c>
      <c r="Q25" s="448">
        <f t="shared" ca="1" si="17"/>
        <v>10934.099450564456</v>
      </c>
    </row>
    <row r="26" spans="1:17">
      <c r="A26" s="448" t="s">
        <v>671</v>
      </c>
      <c r="B26" s="449">
        <f t="shared" ca="1" si="2"/>
        <v>17523.74534878791</v>
      </c>
      <c r="C26" s="449">
        <f t="shared" ca="1" si="3"/>
        <v>0</v>
      </c>
      <c r="D26" s="449">
        <f t="shared" si="4"/>
        <v>20672.981721744003</v>
      </c>
      <c r="E26" s="449">
        <f t="shared" si="5"/>
        <v>179.43731356815331</v>
      </c>
      <c r="F26" s="449">
        <f t="shared" si="6"/>
        <v>3626.8456988525172</v>
      </c>
      <c r="G26" s="449">
        <f t="shared" si="7"/>
        <v>0</v>
      </c>
      <c r="H26" s="449">
        <f t="shared" si="8"/>
        <v>0</v>
      </c>
      <c r="I26" s="449">
        <f t="shared" si="9"/>
        <v>0</v>
      </c>
      <c r="J26" s="449">
        <f t="shared" si="10"/>
        <v>397.26293361798054</v>
      </c>
      <c r="K26" s="449">
        <f t="shared" si="11"/>
        <v>0</v>
      </c>
      <c r="L26" s="449">
        <f t="shared" si="12"/>
        <v>0</v>
      </c>
      <c r="M26" s="449">
        <f t="shared" si="13"/>
        <v>0</v>
      </c>
      <c r="N26" s="449">
        <f t="shared" si="14"/>
        <v>0</v>
      </c>
      <c r="O26" s="449">
        <f t="shared" si="15"/>
        <v>0</v>
      </c>
      <c r="P26" s="450">
        <f t="shared" si="16"/>
        <v>0</v>
      </c>
      <c r="Q26" s="448">
        <f t="shared" ca="1" si="17"/>
        <v>42400.273016570558</v>
      </c>
    </row>
    <row r="27" spans="1:17" s="454" customFormat="1">
      <c r="A27" s="452" t="s">
        <v>568</v>
      </c>
      <c r="B27" s="760">
        <f t="shared" ca="1" si="2"/>
        <v>2.9233774759876749</v>
      </c>
      <c r="C27" s="453">
        <f t="shared" ca="1" si="3"/>
        <v>0</v>
      </c>
      <c r="D27" s="453">
        <f t="shared" si="4"/>
        <v>3.7507380133242871</v>
      </c>
      <c r="E27" s="453">
        <f t="shared" si="5"/>
        <v>268.38396360564371</v>
      </c>
      <c r="F27" s="453">
        <f t="shared" si="6"/>
        <v>0</v>
      </c>
      <c r="G27" s="453">
        <f t="shared" si="7"/>
        <v>70141.712486745178</v>
      </c>
      <c r="H27" s="453">
        <f t="shared" si="8"/>
        <v>11092.935041387083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81509.705607227224</v>
      </c>
    </row>
    <row r="28" spans="1:17">
      <c r="A28" s="448" t="s">
        <v>558</v>
      </c>
      <c r="B28" s="449">
        <f t="shared" ca="1" si="2"/>
        <v>6.1030584886770649</v>
      </c>
      <c r="C28" s="449">
        <f t="shared" ca="1" si="3"/>
        <v>0</v>
      </c>
      <c r="D28" s="449">
        <f t="shared" si="4"/>
        <v>0</v>
      </c>
      <c r="E28" s="449">
        <f t="shared" si="5"/>
        <v>0</v>
      </c>
      <c r="F28" s="449">
        <f t="shared" si="6"/>
        <v>0</v>
      </c>
      <c r="G28" s="449">
        <f t="shared" si="7"/>
        <v>1584.1885530468071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1590.2916115354842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453.45398966264025</v>
      </c>
      <c r="C32" s="449">
        <f t="shared" ca="1" si="3"/>
        <v>0</v>
      </c>
      <c r="D32" s="449">
        <f t="shared" si="4"/>
        <v>1998.6409240000003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2452.0949136626405</v>
      </c>
    </row>
    <row r="33" spans="1:17" s="461" customFormat="1">
      <c r="A33" s="458" t="s">
        <v>562</v>
      </c>
      <c r="B33" s="459">
        <f ca="1">SUM(B22:B32)</f>
        <v>53408.705523770295</v>
      </c>
      <c r="C33" s="459">
        <f t="shared" ref="C33:Q33" ca="1" si="18">SUM(C22:C32)</f>
        <v>8.0969747899159685</v>
      </c>
      <c r="D33" s="459">
        <f t="shared" ca="1" si="18"/>
        <v>69909.761532118471</v>
      </c>
      <c r="E33" s="459">
        <f t="shared" si="18"/>
        <v>1503.6963159142206</v>
      </c>
      <c r="F33" s="459">
        <f t="shared" ca="1" si="18"/>
        <v>48096.811462632424</v>
      </c>
      <c r="G33" s="459">
        <f t="shared" si="18"/>
        <v>71725.901039791992</v>
      </c>
      <c r="H33" s="459">
        <f t="shared" si="18"/>
        <v>11092.935041387083</v>
      </c>
      <c r="I33" s="459">
        <f t="shared" si="18"/>
        <v>0</v>
      </c>
      <c r="J33" s="459">
        <f t="shared" si="18"/>
        <v>1548.5660714926785</v>
      </c>
      <c r="K33" s="459">
        <f t="shared" si="18"/>
        <v>0</v>
      </c>
      <c r="L33" s="459">
        <f t="shared" ca="1" si="18"/>
        <v>0</v>
      </c>
      <c r="M33" s="459">
        <f t="shared" si="18"/>
        <v>0</v>
      </c>
      <c r="N33" s="459">
        <f t="shared" ca="1" si="18"/>
        <v>0</v>
      </c>
      <c r="O33" s="459">
        <f t="shared" si="18"/>
        <v>0</v>
      </c>
      <c r="P33" s="459">
        <f t="shared" si="18"/>
        <v>0</v>
      </c>
      <c r="Q33" s="459">
        <f t="shared" ca="1" si="18"/>
        <v>257294.47396189708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18166.993607600325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23.85</v>
      </c>
      <c r="D8" s="1015">
        <f>'SEAP template'!D76</f>
        <v>28.058823529411768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5.6678823529411773</v>
      </c>
    </row>
    <row r="9" spans="1:16">
      <c r="A9" s="1018" t="s">
        <v>891</v>
      </c>
      <c r="B9" s="1015">
        <f>'SEAP template'!B77</f>
        <v>495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1414.2857142857144</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18661.993607600325</v>
      </c>
      <c r="C10" s="1019">
        <f>SUM(C4:C9)</f>
        <v>23.85</v>
      </c>
      <c r="D10" s="1019">
        <f t="shared" ref="D10:H10" si="0">SUM(D8:D9)</f>
        <v>28.058823529411768</v>
      </c>
      <c r="E10" s="1019">
        <f t="shared" si="0"/>
        <v>0</v>
      </c>
      <c r="F10" s="1019">
        <f t="shared" si="0"/>
        <v>0</v>
      </c>
      <c r="G10" s="1019">
        <f t="shared" si="0"/>
        <v>0</v>
      </c>
      <c r="H10" s="1019">
        <f t="shared" si="0"/>
        <v>0</v>
      </c>
      <c r="I10" s="1019">
        <f>SUM(I8:I9)</f>
        <v>0</v>
      </c>
      <c r="J10" s="1019">
        <f>SUM(J8:J9)</f>
        <v>1414.2857142857144</v>
      </c>
      <c r="K10" s="1019">
        <f t="shared" ref="K10:L10" si="1">SUM(K8:K9)</f>
        <v>0</v>
      </c>
      <c r="L10" s="1019">
        <f t="shared" si="1"/>
        <v>0</v>
      </c>
      <c r="M10" s="1019">
        <f>SUM(M8:M9)</f>
        <v>0</v>
      </c>
      <c r="N10" s="1019">
        <f>SUM(N8:N9)</f>
        <v>0</v>
      </c>
      <c r="O10" s="1019">
        <f>SUM(O8:O9)</f>
        <v>0</v>
      </c>
      <c r="P10" s="1019">
        <f>SUM(P8:P9)</f>
        <v>5.6678823529411773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0.20515885008113999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34.071428571428577</v>
      </c>
      <c r="D17" s="1016">
        <f>'SEAP template'!D87</f>
        <v>40.084033613445385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8.0969747899159685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34.071428571428577</v>
      </c>
      <c r="D20" s="1019">
        <f t="shared" ref="D20:H20" si="2">SUM(D17:D19)</f>
        <v>40.084033613445385</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8.0969747899159685</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0.20515885008113999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0.20515885008113999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0.20515885008113999</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17040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6099</v>
      </c>
      <c r="C14" s="327"/>
      <c r="D14" s="327"/>
      <c r="E14" s="327"/>
      <c r="F14" s="327"/>
    </row>
    <row r="15" spans="1:6">
      <c r="A15" s="1295" t="s">
        <v>183</v>
      </c>
      <c r="B15" s="1296">
        <v>2</v>
      </c>
      <c r="C15" s="327"/>
      <c r="D15" s="327"/>
      <c r="E15" s="327"/>
      <c r="F15" s="327"/>
    </row>
    <row r="16" spans="1:6">
      <c r="A16" s="1295" t="s">
        <v>6</v>
      </c>
      <c r="B16" s="1296">
        <v>141</v>
      </c>
      <c r="C16" s="327"/>
      <c r="D16" s="327"/>
      <c r="E16" s="327"/>
      <c r="F16" s="327"/>
    </row>
    <row r="17" spans="1:6">
      <c r="A17" s="1295" t="s">
        <v>7</v>
      </c>
      <c r="B17" s="1296">
        <v>953</v>
      </c>
      <c r="C17" s="327"/>
      <c r="D17" s="327"/>
      <c r="E17" s="327"/>
      <c r="F17" s="327"/>
    </row>
    <row r="18" spans="1:6">
      <c r="A18" s="1295" t="s">
        <v>8</v>
      </c>
      <c r="B18" s="1296">
        <v>1019</v>
      </c>
      <c r="C18" s="327"/>
      <c r="D18" s="327"/>
      <c r="E18" s="327"/>
      <c r="F18" s="327"/>
    </row>
    <row r="19" spans="1:6">
      <c r="A19" s="1295" t="s">
        <v>9</v>
      </c>
      <c r="B19" s="1296">
        <v>733</v>
      </c>
      <c r="C19" s="327"/>
      <c r="D19" s="327"/>
      <c r="E19" s="327"/>
      <c r="F19" s="327"/>
    </row>
    <row r="20" spans="1:6">
      <c r="A20" s="1295" t="s">
        <v>10</v>
      </c>
      <c r="B20" s="1296">
        <v>575</v>
      </c>
      <c r="C20" s="327"/>
      <c r="D20" s="327"/>
      <c r="E20" s="327"/>
      <c r="F20" s="327"/>
    </row>
    <row r="21" spans="1:6">
      <c r="A21" s="1295" t="s">
        <v>11</v>
      </c>
      <c r="B21" s="1296">
        <v>1876</v>
      </c>
      <c r="C21" s="327"/>
      <c r="D21" s="327"/>
      <c r="E21" s="327"/>
      <c r="F21" s="327"/>
    </row>
    <row r="22" spans="1:6">
      <c r="A22" s="1295" t="s">
        <v>12</v>
      </c>
      <c r="B22" s="1296">
        <v>6621</v>
      </c>
      <c r="C22" s="327"/>
      <c r="D22" s="327"/>
      <c r="E22" s="327"/>
      <c r="F22" s="327"/>
    </row>
    <row r="23" spans="1:6">
      <c r="A23" s="1295" t="s">
        <v>13</v>
      </c>
      <c r="B23" s="1296">
        <v>32</v>
      </c>
      <c r="C23" s="327"/>
      <c r="D23" s="327"/>
      <c r="E23" s="327"/>
      <c r="F23" s="327"/>
    </row>
    <row r="24" spans="1:6">
      <c r="A24" s="1295" t="s">
        <v>14</v>
      </c>
      <c r="B24" s="1296">
        <v>6</v>
      </c>
      <c r="C24" s="327"/>
      <c r="D24" s="327"/>
      <c r="E24" s="327"/>
      <c r="F24" s="327"/>
    </row>
    <row r="25" spans="1:6">
      <c r="A25" s="1295" t="s">
        <v>15</v>
      </c>
      <c r="B25" s="1296">
        <v>263</v>
      </c>
      <c r="C25" s="327"/>
      <c r="D25" s="327"/>
      <c r="E25" s="327"/>
      <c r="F25" s="327"/>
    </row>
    <row r="26" spans="1:6">
      <c r="A26" s="1295" t="s">
        <v>16</v>
      </c>
      <c r="B26" s="1296">
        <v>145</v>
      </c>
      <c r="C26" s="327"/>
      <c r="D26" s="327"/>
      <c r="E26" s="327"/>
      <c r="F26" s="327"/>
    </row>
    <row r="27" spans="1:6">
      <c r="A27" s="1295" t="s">
        <v>17</v>
      </c>
      <c r="B27" s="1296">
        <v>2</v>
      </c>
      <c r="C27" s="327"/>
      <c r="D27" s="327"/>
      <c r="E27" s="327"/>
      <c r="F27" s="327"/>
    </row>
    <row r="28" spans="1:6" s="44" customFormat="1">
      <c r="A28" s="1297" t="s">
        <v>18</v>
      </c>
      <c r="B28" s="1298">
        <v>123406</v>
      </c>
      <c r="C28" s="333"/>
      <c r="D28" s="333"/>
      <c r="E28" s="333"/>
      <c r="F28" s="333"/>
    </row>
    <row r="29" spans="1:6">
      <c r="A29" s="1297" t="s">
        <v>961</v>
      </c>
      <c r="B29" s="1298">
        <v>154</v>
      </c>
      <c r="C29" s="333"/>
      <c r="D29" s="333"/>
      <c r="E29" s="333"/>
      <c r="F29" s="333"/>
    </row>
    <row r="30" spans="1:6">
      <c r="A30" s="1290" t="s">
        <v>962</v>
      </c>
      <c r="B30" s="1299">
        <v>27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43417</v>
      </c>
    </row>
    <row r="36" spans="1:6">
      <c r="A36" s="1295" t="s">
        <v>24</v>
      </c>
      <c r="B36" s="1295" t="s">
        <v>26</v>
      </c>
      <c r="C36" s="1296">
        <v>0</v>
      </c>
      <c r="D36" s="1296">
        <v>0</v>
      </c>
      <c r="E36" s="1296">
        <v>13</v>
      </c>
      <c r="F36" s="1296">
        <v>132764</v>
      </c>
    </row>
    <row r="37" spans="1:6">
      <c r="A37" s="1295" t="s">
        <v>24</v>
      </c>
      <c r="B37" s="1295" t="s">
        <v>27</v>
      </c>
      <c r="C37" s="1296">
        <v>0</v>
      </c>
      <c r="D37" s="1296">
        <v>0</v>
      </c>
      <c r="E37" s="1296">
        <v>0</v>
      </c>
      <c r="F37" s="1296">
        <v>0</v>
      </c>
    </row>
    <row r="38" spans="1:6">
      <c r="A38" s="1295" t="s">
        <v>24</v>
      </c>
      <c r="B38" s="1295" t="s">
        <v>28</v>
      </c>
      <c r="C38" s="1296">
        <v>1</v>
      </c>
      <c r="D38" s="1296">
        <v>159347</v>
      </c>
      <c r="E38" s="1296">
        <v>1</v>
      </c>
      <c r="F38" s="1296">
        <v>1290</v>
      </c>
    </row>
    <row r="39" spans="1:6">
      <c r="A39" s="1295" t="s">
        <v>29</v>
      </c>
      <c r="B39" s="1295" t="s">
        <v>30</v>
      </c>
      <c r="C39" s="1296">
        <v>10072</v>
      </c>
      <c r="D39" s="1296">
        <v>164578684</v>
      </c>
      <c r="E39" s="1296">
        <v>17223</v>
      </c>
      <c r="F39" s="1296">
        <v>63903440</v>
      </c>
    </row>
    <row r="40" spans="1:6">
      <c r="A40" s="1295" t="s">
        <v>29</v>
      </c>
      <c r="B40" s="1295" t="s">
        <v>28</v>
      </c>
      <c r="C40" s="1296">
        <v>0</v>
      </c>
      <c r="D40" s="1296">
        <v>0</v>
      </c>
      <c r="E40" s="1296">
        <v>1</v>
      </c>
      <c r="F40" s="1296">
        <v>4809</v>
      </c>
    </row>
    <row r="41" spans="1:6">
      <c r="A41" s="1295" t="s">
        <v>31</v>
      </c>
      <c r="B41" s="1295" t="s">
        <v>32</v>
      </c>
      <c r="C41" s="1296">
        <v>106</v>
      </c>
      <c r="D41" s="1296">
        <v>10642206</v>
      </c>
      <c r="E41" s="1296">
        <v>220</v>
      </c>
      <c r="F41" s="1296">
        <v>3727482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15</v>
      </c>
      <c r="D44" s="1296">
        <v>51728718</v>
      </c>
      <c r="E44" s="1296">
        <v>31</v>
      </c>
      <c r="F44" s="1296">
        <v>68060488</v>
      </c>
    </row>
    <row r="45" spans="1:6">
      <c r="A45" s="1295" t="s">
        <v>31</v>
      </c>
      <c r="B45" s="1295" t="s">
        <v>36</v>
      </c>
      <c r="C45" s="1296">
        <v>6</v>
      </c>
      <c r="D45" s="1296">
        <v>114480</v>
      </c>
      <c r="E45" s="1296">
        <v>13</v>
      </c>
      <c r="F45" s="1296">
        <v>855079</v>
      </c>
    </row>
    <row r="46" spans="1:6">
      <c r="A46" s="1295" t="s">
        <v>31</v>
      </c>
      <c r="B46" s="1295" t="s">
        <v>37</v>
      </c>
      <c r="C46" s="1296">
        <v>0</v>
      </c>
      <c r="D46" s="1296">
        <v>0</v>
      </c>
      <c r="E46" s="1296">
        <v>0</v>
      </c>
      <c r="F46" s="1296">
        <v>0</v>
      </c>
    </row>
    <row r="47" spans="1:6">
      <c r="A47" s="1295" t="s">
        <v>31</v>
      </c>
      <c r="B47" s="1295" t="s">
        <v>38</v>
      </c>
      <c r="C47" s="1296">
        <v>8</v>
      </c>
      <c r="D47" s="1296">
        <v>366215</v>
      </c>
      <c r="E47" s="1296">
        <v>11</v>
      </c>
      <c r="F47" s="1296">
        <v>178336</v>
      </c>
    </row>
    <row r="48" spans="1:6">
      <c r="A48" s="1295" t="s">
        <v>31</v>
      </c>
      <c r="B48" s="1295" t="s">
        <v>28</v>
      </c>
      <c r="C48" s="1296">
        <v>2</v>
      </c>
      <c r="D48" s="1296">
        <v>135916</v>
      </c>
      <c r="E48" s="1296">
        <v>3</v>
      </c>
      <c r="F48" s="1296">
        <v>14009</v>
      </c>
    </row>
    <row r="49" spans="1:6">
      <c r="A49" s="1295" t="s">
        <v>31</v>
      </c>
      <c r="B49" s="1295" t="s">
        <v>39</v>
      </c>
      <c r="C49" s="1296">
        <v>6</v>
      </c>
      <c r="D49" s="1296">
        <v>270157</v>
      </c>
      <c r="E49" s="1296">
        <v>8</v>
      </c>
      <c r="F49" s="1296">
        <v>312049</v>
      </c>
    </row>
    <row r="50" spans="1:6">
      <c r="A50" s="1295" t="s">
        <v>31</v>
      </c>
      <c r="B50" s="1295" t="s">
        <v>40</v>
      </c>
      <c r="C50" s="1296">
        <v>30</v>
      </c>
      <c r="D50" s="1296">
        <v>50202944</v>
      </c>
      <c r="E50" s="1296">
        <v>60</v>
      </c>
      <c r="F50" s="1296">
        <v>12268055</v>
      </c>
    </row>
    <row r="51" spans="1:6">
      <c r="A51" s="1295" t="s">
        <v>41</v>
      </c>
      <c r="B51" s="1295" t="s">
        <v>42</v>
      </c>
      <c r="C51" s="1296">
        <v>27</v>
      </c>
      <c r="D51" s="1296">
        <v>4576827</v>
      </c>
      <c r="E51" s="1296">
        <v>224</v>
      </c>
      <c r="F51" s="1296">
        <v>8998750</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184</v>
      </c>
      <c r="F54" s="1296">
        <v>2435783</v>
      </c>
    </row>
    <row r="55" spans="1:6">
      <c r="A55" s="1295" t="s">
        <v>45</v>
      </c>
      <c r="B55" s="1295" t="s">
        <v>28</v>
      </c>
      <c r="C55" s="1296">
        <v>0</v>
      </c>
      <c r="D55" s="1296">
        <v>0</v>
      </c>
      <c r="E55" s="1296">
        <v>0</v>
      </c>
      <c r="F55" s="1296">
        <v>0</v>
      </c>
    </row>
    <row r="56" spans="1:6">
      <c r="A56" s="1295" t="s">
        <v>47</v>
      </c>
      <c r="B56" s="1295" t="s">
        <v>28</v>
      </c>
      <c r="C56" s="1296">
        <v>162</v>
      </c>
      <c r="D56" s="1296">
        <v>9894262</v>
      </c>
      <c r="E56" s="1296">
        <v>319</v>
      </c>
      <c r="F56" s="1296">
        <v>2210258</v>
      </c>
    </row>
    <row r="57" spans="1:6">
      <c r="A57" s="1295" t="s">
        <v>48</v>
      </c>
      <c r="B57" s="1295" t="s">
        <v>49</v>
      </c>
      <c r="C57" s="1296">
        <v>120</v>
      </c>
      <c r="D57" s="1296">
        <v>9564276</v>
      </c>
      <c r="E57" s="1296">
        <v>258</v>
      </c>
      <c r="F57" s="1296">
        <v>7691372</v>
      </c>
    </row>
    <row r="58" spans="1:6">
      <c r="A58" s="1295" t="s">
        <v>48</v>
      </c>
      <c r="B58" s="1295" t="s">
        <v>50</v>
      </c>
      <c r="C58" s="1296">
        <v>79</v>
      </c>
      <c r="D58" s="1296">
        <v>23001048</v>
      </c>
      <c r="E58" s="1296">
        <v>129</v>
      </c>
      <c r="F58" s="1296">
        <v>11695415</v>
      </c>
    </row>
    <row r="59" spans="1:6">
      <c r="A59" s="1295" t="s">
        <v>48</v>
      </c>
      <c r="B59" s="1295" t="s">
        <v>51</v>
      </c>
      <c r="C59" s="1296">
        <v>362</v>
      </c>
      <c r="D59" s="1296">
        <v>19363458</v>
      </c>
      <c r="E59" s="1296">
        <v>702</v>
      </c>
      <c r="F59" s="1296">
        <v>35903192</v>
      </c>
    </row>
    <row r="60" spans="1:6">
      <c r="A60" s="1295" t="s">
        <v>48</v>
      </c>
      <c r="B60" s="1295" t="s">
        <v>52</v>
      </c>
      <c r="C60" s="1296">
        <v>127</v>
      </c>
      <c r="D60" s="1296">
        <v>8045387</v>
      </c>
      <c r="E60" s="1296">
        <v>222</v>
      </c>
      <c r="F60" s="1296">
        <v>7461144</v>
      </c>
    </row>
    <row r="61" spans="1:6">
      <c r="A61" s="1295" t="s">
        <v>48</v>
      </c>
      <c r="B61" s="1295" t="s">
        <v>53</v>
      </c>
      <c r="C61" s="1296">
        <v>232</v>
      </c>
      <c r="D61" s="1296">
        <v>25203435</v>
      </c>
      <c r="E61" s="1296">
        <v>827</v>
      </c>
      <c r="F61" s="1296">
        <v>26425555</v>
      </c>
    </row>
    <row r="62" spans="1:6">
      <c r="A62" s="1295" t="s">
        <v>48</v>
      </c>
      <c r="B62" s="1295" t="s">
        <v>54</v>
      </c>
      <c r="C62" s="1296">
        <v>35</v>
      </c>
      <c r="D62" s="1296">
        <v>4981461</v>
      </c>
      <c r="E62" s="1296">
        <v>54</v>
      </c>
      <c r="F62" s="1296">
        <v>2203664</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219592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10</v>
      </c>
      <c r="D68" s="1299">
        <v>355859</v>
      </c>
      <c r="E68" s="1299">
        <v>41</v>
      </c>
      <c r="F68" s="1299">
        <v>1137112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264504439</v>
      </c>
      <c r="E73" s="447"/>
      <c r="F73" s="327"/>
    </row>
    <row r="74" spans="1:6">
      <c r="A74" s="1295" t="s">
        <v>63</v>
      </c>
      <c r="B74" s="1295" t="s">
        <v>755</v>
      </c>
      <c r="C74" s="1309" t="s">
        <v>749</v>
      </c>
      <c r="D74" s="1310">
        <v>28514369.544844892</v>
      </c>
      <c r="E74" s="447"/>
      <c r="F74" s="327"/>
    </row>
    <row r="75" spans="1:6">
      <c r="A75" s="1295" t="s">
        <v>64</v>
      </c>
      <c r="B75" s="1295" t="s">
        <v>754</v>
      </c>
      <c r="C75" s="1309" t="s">
        <v>750</v>
      </c>
      <c r="D75" s="1310">
        <v>84604239</v>
      </c>
      <c r="E75" s="447"/>
      <c r="F75" s="327"/>
    </row>
    <row r="76" spans="1:6">
      <c r="A76" s="1295" t="s">
        <v>64</v>
      </c>
      <c r="B76" s="1295" t="s">
        <v>755</v>
      </c>
      <c r="C76" s="1309" t="s">
        <v>751</v>
      </c>
      <c r="D76" s="1310">
        <v>1515664.5448448923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1638904.9103102153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5416.8205650190148</v>
      </c>
      <c r="C91" s="327"/>
      <c r="D91" s="327"/>
      <c r="E91" s="327"/>
      <c r="F91" s="327"/>
    </row>
    <row r="92" spans="1:6">
      <c r="A92" s="1290" t="s">
        <v>68</v>
      </c>
      <c r="B92" s="1291">
        <v>12750.173042581309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6223</v>
      </c>
      <c r="C97" s="327"/>
      <c r="D97" s="327"/>
      <c r="E97" s="327"/>
      <c r="F97" s="327"/>
    </row>
    <row r="98" spans="1:6">
      <c r="A98" s="1295" t="s">
        <v>71</v>
      </c>
      <c r="B98" s="1296">
        <v>8</v>
      </c>
      <c r="C98" s="327"/>
      <c r="D98" s="327"/>
      <c r="E98" s="327"/>
      <c r="F98" s="327"/>
    </row>
    <row r="99" spans="1:6">
      <c r="A99" s="1295" t="s">
        <v>72</v>
      </c>
      <c r="B99" s="1296">
        <v>93</v>
      </c>
      <c r="C99" s="327"/>
      <c r="D99" s="327"/>
      <c r="E99" s="327"/>
      <c r="F99" s="327"/>
    </row>
    <row r="100" spans="1:6">
      <c r="A100" s="1295" t="s">
        <v>73</v>
      </c>
      <c r="B100" s="1296">
        <v>422</v>
      </c>
      <c r="C100" s="327"/>
      <c r="D100" s="327"/>
      <c r="E100" s="327"/>
      <c r="F100" s="327"/>
    </row>
    <row r="101" spans="1:6">
      <c r="A101" s="1295" t="s">
        <v>74</v>
      </c>
      <c r="B101" s="1296">
        <v>99</v>
      </c>
      <c r="C101" s="327"/>
      <c r="D101" s="327"/>
      <c r="E101" s="327"/>
      <c r="F101" s="327"/>
    </row>
    <row r="102" spans="1:6">
      <c r="A102" s="1295" t="s">
        <v>75</v>
      </c>
      <c r="B102" s="1296">
        <v>212</v>
      </c>
      <c r="C102" s="327"/>
      <c r="D102" s="327"/>
      <c r="E102" s="327"/>
      <c r="F102" s="327"/>
    </row>
    <row r="103" spans="1:6">
      <c r="A103" s="1295" t="s">
        <v>76</v>
      </c>
      <c r="B103" s="1296">
        <v>294</v>
      </c>
      <c r="C103" s="327"/>
      <c r="D103" s="327"/>
      <c r="E103" s="327"/>
      <c r="F103" s="327"/>
    </row>
    <row r="104" spans="1:6">
      <c r="A104" s="1295" t="s">
        <v>77</v>
      </c>
      <c r="B104" s="1296">
        <v>7679</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18</v>
      </c>
      <c r="C123" s="1296">
        <v>11</v>
      </c>
      <c r="D123" s="327"/>
      <c r="E123" s="327"/>
      <c r="F123" s="327"/>
    </row>
    <row r="124" spans="1:6" s="44" customFormat="1">
      <c r="A124" s="1297" t="s">
        <v>88</v>
      </c>
      <c r="B124" s="1318">
        <v>1</v>
      </c>
      <c r="C124" s="1318">
        <v>2</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57</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18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260328.54786740735</v>
      </c>
      <c r="C3" s="44" t="s">
        <v>169</v>
      </c>
      <c r="D3" s="44"/>
      <c r="E3" s="157"/>
      <c r="F3" s="44"/>
      <c r="G3" s="44"/>
      <c r="H3" s="44"/>
      <c r="I3" s="44"/>
      <c r="J3" s="44"/>
      <c r="K3" s="97"/>
    </row>
    <row r="4" spans="1:11">
      <c r="A4" s="354" t="s">
        <v>170</v>
      </c>
      <c r="B4" s="50">
        <f>IF(ISERROR('SEAP template'!B78+'SEAP template'!C78),0,'SEAP template'!B78+'SEAP template'!C78)</f>
        <v>18685.843607600324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5.6678823529411773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0.20515885008113999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8.0969747899159685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34.071428571428577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2435.7829999999999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2435.7829999999999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0.20515885008113999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499.72243932718936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63908.249000000003</v>
      </c>
      <c r="C5" s="18">
        <f>IF(ISERROR('Eigen informatie GS &amp; warmtenet'!B57),0,'Eigen informatie GS &amp; warmtenet'!B57)</f>
        <v>0</v>
      </c>
      <c r="D5" s="31">
        <f>(SUM(HH_hh_gas_kWh,HH_rest_gas_kWh)/1000)*0.902</f>
        <v>148449.97296800002</v>
      </c>
      <c r="E5" s="18">
        <f>B32*B41</f>
        <v>3866.8938136333213</v>
      </c>
      <c r="F5" s="18">
        <f>B36*B45</f>
        <v>117890.36564087344</v>
      </c>
      <c r="G5" s="19"/>
      <c r="H5" s="18"/>
      <c r="I5" s="18"/>
      <c r="J5" s="18">
        <f>B35*B44+C35*C44</f>
        <v>2139.0796061468773</v>
      </c>
      <c r="K5" s="18"/>
      <c r="L5" s="18"/>
      <c r="M5" s="18"/>
      <c r="N5" s="18">
        <f>B34*B43+C34*C43</f>
        <v>24685.621975896895</v>
      </c>
      <c r="O5" s="18">
        <f>B52*B53*B54</f>
        <v>109.43333333333334</v>
      </c>
      <c r="P5" s="18">
        <f>B60*B61*B62/1000-B60*B61*B62/1000/B63</f>
        <v>705.4666666666667</v>
      </c>
    </row>
    <row r="6" spans="1:16">
      <c r="A6" s="17" t="s">
        <v>628</v>
      </c>
      <c r="B6" s="768">
        <f>kWh_PV_kleiner_dan_10kW</f>
        <v>5416.8205650190148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69325.069565019017</v>
      </c>
      <c r="C8" s="22">
        <f>C5</f>
        <v>0</v>
      </c>
      <c r="D8" s="22">
        <f>D5</f>
        <v>148449.97296800002</v>
      </c>
      <c r="E8" s="22">
        <f>E5</f>
        <v>3866.8938136333213</v>
      </c>
      <c r="F8" s="22">
        <f>F5</f>
        <v>117890.36564087344</v>
      </c>
      <c r="G8" s="22"/>
      <c r="H8" s="22"/>
      <c r="I8" s="22"/>
      <c r="J8" s="22">
        <f>J5</f>
        <v>2139.0796061468773</v>
      </c>
      <c r="K8" s="22"/>
      <c r="L8" s="22">
        <f>L5</f>
        <v>0</v>
      </c>
      <c r="M8" s="22">
        <f>M5</f>
        <v>0</v>
      </c>
      <c r="N8" s="22">
        <f>N5</f>
        <v>24685.621975896895</v>
      </c>
      <c r="O8" s="22">
        <f>O5</f>
        <v>109.43333333333334</v>
      </c>
      <c r="P8" s="22">
        <f>P5</f>
        <v>705.4666666666667</v>
      </c>
    </row>
    <row r="9" spans="1:16">
      <c r="B9" s="20"/>
      <c r="C9" s="20"/>
      <c r="D9" s="258"/>
      <c r="E9" s="20"/>
      <c r="F9" s="20"/>
      <c r="G9" s="20"/>
      <c r="H9" s="20"/>
      <c r="I9" s="20"/>
      <c r="J9" s="20"/>
      <c r="K9" s="20"/>
      <c r="L9" s="20"/>
      <c r="M9" s="20"/>
      <c r="N9" s="20"/>
      <c r="O9" s="20"/>
      <c r="P9" s="20"/>
    </row>
    <row r="10" spans="1:16">
      <c r="A10" s="25" t="s">
        <v>213</v>
      </c>
      <c r="B10" s="26">
        <f ca="1">'EF ele_warmte'!B12</f>
        <v>0.20515885008113999</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14222.651553754336</v>
      </c>
      <c r="C12" s="24">
        <f ca="1">C10*C8</f>
        <v>0</v>
      </c>
      <c r="D12" s="24">
        <f>D8*D10</f>
        <v>29986.894539536006</v>
      </c>
      <c r="E12" s="24">
        <f>E10*E8</f>
        <v>877.78489569476392</v>
      </c>
      <c r="F12" s="24">
        <f>F10*F8</f>
        <v>31476.72762611321</v>
      </c>
      <c r="G12" s="24"/>
      <c r="H12" s="24"/>
      <c r="I12" s="24"/>
      <c r="J12" s="24">
        <f>J10*J8</f>
        <v>757.23418057599451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17040</v>
      </c>
      <c r="C26" s="37"/>
      <c r="D26" s="228"/>
    </row>
    <row r="27" spans="1:5" s="16" customFormat="1">
      <c r="A27" s="230" t="s">
        <v>654</v>
      </c>
      <c r="B27" s="38">
        <f>SUM(HH_hh_gas_aantal,HH_rest_gas_aantal)</f>
        <v>10072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9568.4</v>
      </c>
      <c r="C31" s="35" t="s">
        <v>110</v>
      </c>
      <c r="D31" s="174"/>
    </row>
    <row r="32" spans="1:5">
      <c r="A32" s="171" t="s">
        <v>72</v>
      </c>
      <c r="B32" s="34">
        <f>IF((B21*($B$26-($B$27-0.05*$B$27)-$B$60))&lt;0,0,B21*($B$26-($B$27-0.05*$B$27)-$B$60))</f>
        <v>182.70775264359432</v>
      </c>
      <c r="C32" s="35" t="s">
        <v>110</v>
      </c>
      <c r="D32" s="174"/>
    </row>
    <row r="33" spans="1:6">
      <c r="A33" s="171" t="s">
        <v>73</v>
      </c>
      <c r="B33" s="34">
        <f>IF((B22*($B$26-($B$27-0.05*$B$27)-$B$60))&lt;0,0,B22*($B$26-($B$27-0.05*$B$27)-$B$60))</f>
        <v>1229.8374621617745</v>
      </c>
      <c r="C33" s="35" t="s">
        <v>110</v>
      </c>
      <c r="D33" s="174"/>
    </row>
    <row r="34" spans="1:6">
      <c r="A34" s="171" t="s">
        <v>74</v>
      </c>
      <c r="B34" s="34">
        <f>IF((B24*($B$26-($B$27-0.05*$B$27)-$B$60))&lt;0,0,B24*($B$26-($B$27-0.05*$B$27)-$B$60))</f>
        <v>311.91270302906923</v>
      </c>
      <c r="C34" s="34">
        <f>B26*C24</f>
        <v>3484.7196634809911</v>
      </c>
      <c r="D34" s="233"/>
    </row>
    <row r="35" spans="1:6">
      <c r="A35" s="171" t="s">
        <v>76</v>
      </c>
      <c r="B35" s="34">
        <f>IF((B19*($B$26-($B$27-0.05*$B$27)-$B$60))&lt;0,0,B19*($B$26-($B$27-0.05*$B$27)-$B$60))</f>
        <v>115.95927222822361</v>
      </c>
      <c r="C35" s="34">
        <f>B35/2</f>
        <v>57.979636114111806</v>
      </c>
      <c r="D35" s="233"/>
    </row>
    <row r="36" spans="1:6">
      <c r="A36" s="171" t="s">
        <v>77</v>
      </c>
      <c r="B36" s="34">
        <f>IF((B18*($B$26-($B$27-0.05*$B$27)-$B$60))&lt;0,0,B18*($B$26-($B$27-0.05*$B$27)-$B$60))</f>
        <v>5594.182809937337</v>
      </c>
      <c r="C36" s="35" t="s">
        <v>110</v>
      </c>
      <c r="D36" s="174"/>
    </row>
    <row r="37" spans="1:6">
      <c r="A37" s="171" t="s">
        <v>78</v>
      </c>
      <c r="B37" s="34">
        <f>B60</f>
        <v>37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91380.342000000019</v>
      </c>
      <c r="C5" s="18">
        <f>IF(ISERROR('Eigen informatie GS &amp; warmtenet'!B58),0,'Eigen informatie GS &amp; warmtenet'!B58)</f>
        <v>0</v>
      </c>
      <c r="D5" s="31">
        <f>SUM(D6:D12)</f>
        <v>81323.47662999999</v>
      </c>
      <c r="E5" s="18">
        <f>SUM(E6:E12)</f>
        <v>699.76382073073069</v>
      </c>
      <c r="F5" s="18">
        <f>SUM(F6:F12)</f>
        <v>19297.905576840414</v>
      </c>
      <c r="G5" s="19"/>
      <c r="H5" s="18"/>
      <c r="I5" s="18"/>
      <c r="J5" s="18">
        <f>SUM(J6:J12)</f>
        <v>0</v>
      </c>
      <c r="K5" s="18"/>
      <c r="L5" s="18"/>
      <c r="M5" s="18"/>
      <c r="N5" s="18">
        <f>SUM(N6:N12)</f>
        <v>4729.5135408885362</v>
      </c>
      <c r="O5" s="18">
        <f>B38*B39*B40</f>
        <v>0</v>
      </c>
      <c r="P5" s="18">
        <f>B46*B47*B48/1000-B46*B47*B48/1000/B49</f>
        <v>38.133333333333333</v>
      </c>
      <c r="R5" s="33"/>
    </row>
    <row r="6" spans="1:18">
      <c r="A6" s="33" t="s">
        <v>53</v>
      </c>
      <c r="B6" s="38">
        <f>B26</f>
        <v>26425.555</v>
      </c>
      <c r="C6" s="34"/>
      <c r="D6" s="38">
        <f>IF(ISERROR(TER_kantoor_gas_kWh/1000),0,TER_kantoor_gas_kWh/1000)*0.902</f>
        <v>22733.498370000001</v>
      </c>
      <c r="E6" s="34">
        <f>$C$26*'E Balans VL '!I12/100/3.6*1000000</f>
        <v>43.369691576794381</v>
      </c>
      <c r="F6" s="34">
        <f>$C$26*('E Balans VL '!L12+'E Balans VL '!N12)/100/3.6*1000000</f>
        <v>3114.9511749552184</v>
      </c>
      <c r="G6" s="35"/>
      <c r="H6" s="34"/>
      <c r="I6" s="34"/>
      <c r="J6" s="34">
        <f>$C$26*('E Balans VL '!D12+'E Balans VL '!E12)/100/3.6*1000000</f>
        <v>0</v>
      </c>
      <c r="K6" s="34"/>
      <c r="L6" s="34"/>
      <c r="M6" s="34"/>
      <c r="N6" s="34">
        <f>$C$26*'E Balans VL '!Y12/100/3.6*1000000</f>
        <v>5.3391582525025783</v>
      </c>
      <c r="O6" s="34"/>
      <c r="P6" s="34"/>
      <c r="R6" s="33"/>
    </row>
    <row r="7" spans="1:18">
      <c r="A7" s="33" t="s">
        <v>52</v>
      </c>
      <c r="B7" s="38">
        <f t="shared" ref="B7:B12" si="0">B27</f>
        <v>7461.1440000000002</v>
      </c>
      <c r="C7" s="34"/>
      <c r="D7" s="38">
        <f>IF(ISERROR(TER_horeca_gas_kWh/1000),0,TER_horeca_gas_kWh/1000)*0.902</f>
        <v>7256.9390739999999</v>
      </c>
      <c r="E7" s="34">
        <f>$C$27*'E Balans VL '!I9/100/3.6*1000000</f>
        <v>387.17938360667313</v>
      </c>
      <c r="F7" s="34">
        <f>$C$27*('E Balans VL '!L9+'E Balans VL '!N9)/100/3.6*1000000</f>
        <v>1702.6384746329186</v>
      </c>
      <c r="G7" s="35"/>
      <c r="H7" s="34"/>
      <c r="I7" s="34"/>
      <c r="J7" s="34">
        <f>$C$27*('E Balans VL '!D9+'E Balans VL '!E9)/100/3.6*1000000</f>
        <v>0</v>
      </c>
      <c r="K7" s="34"/>
      <c r="L7" s="34"/>
      <c r="M7" s="34"/>
      <c r="N7" s="34">
        <f>$C$27*'E Balans VL '!Y9/100/3.6*1000000</f>
        <v>0.78789338718159063</v>
      </c>
      <c r="O7" s="34"/>
      <c r="P7" s="34"/>
      <c r="R7" s="33"/>
    </row>
    <row r="8" spans="1:18">
      <c r="A8" s="6" t="s">
        <v>51</v>
      </c>
      <c r="B8" s="38">
        <f t="shared" si="0"/>
        <v>35903.192000000003</v>
      </c>
      <c r="C8" s="34"/>
      <c r="D8" s="38">
        <f>IF(ISERROR(TER_handel_gas_kWh/1000),0,TER_handel_gas_kWh/1000)*0.902</f>
        <v>17465.839115999999</v>
      </c>
      <c r="E8" s="34">
        <f>$C$28*'E Balans VL '!I13/100/3.6*1000000</f>
        <v>193.34310083590577</v>
      </c>
      <c r="F8" s="34">
        <f>$C$28*('E Balans VL '!L13+'E Balans VL '!N13)/100/3.6*1000000</f>
        <v>7321.7277955697982</v>
      </c>
      <c r="G8" s="35"/>
      <c r="H8" s="34"/>
      <c r="I8" s="34"/>
      <c r="J8" s="34">
        <f>$C$28*('E Balans VL '!D13+'E Balans VL '!E13)/100/3.6*1000000</f>
        <v>0</v>
      </c>
      <c r="K8" s="34"/>
      <c r="L8" s="34"/>
      <c r="M8" s="34"/>
      <c r="N8" s="34">
        <f>$C$28*'E Balans VL '!Y13/100/3.6*1000000</f>
        <v>178.52761388351792</v>
      </c>
      <c r="O8" s="34"/>
      <c r="P8" s="34"/>
      <c r="R8" s="33"/>
    </row>
    <row r="9" spans="1:18">
      <c r="A9" s="33" t="s">
        <v>50</v>
      </c>
      <c r="B9" s="38">
        <f t="shared" si="0"/>
        <v>11695.415000000001</v>
      </c>
      <c r="C9" s="34"/>
      <c r="D9" s="38">
        <f>IF(ISERROR(TER_gezond_gas_kWh/1000),0,TER_gezond_gas_kWh/1000)*0.902</f>
        <v>20746.945295999998</v>
      </c>
      <c r="E9" s="34">
        <f>$C$29*'E Balans VL '!I10/100/3.6*1000000</f>
        <v>11.590289264708948</v>
      </c>
      <c r="F9" s="34">
        <f>$C$29*('E Balans VL '!L10+'E Balans VL '!N10)/100/3.6*1000000</f>
        <v>4057.9718975955338</v>
      </c>
      <c r="G9" s="35"/>
      <c r="H9" s="34"/>
      <c r="I9" s="34"/>
      <c r="J9" s="34">
        <f>$C$29*('E Balans VL '!D10+'E Balans VL '!E10)/100/3.6*1000000</f>
        <v>0</v>
      </c>
      <c r="K9" s="34"/>
      <c r="L9" s="34"/>
      <c r="M9" s="34"/>
      <c r="N9" s="34">
        <f>$C$29*'E Balans VL '!Y10/100/3.6*1000000</f>
        <v>100.77837788605602</v>
      </c>
      <c r="O9" s="34"/>
      <c r="P9" s="34"/>
      <c r="R9" s="33"/>
    </row>
    <row r="10" spans="1:18">
      <c r="A10" s="33" t="s">
        <v>49</v>
      </c>
      <c r="B10" s="38">
        <f t="shared" si="0"/>
        <v>7691.3720000000003</v>
      </c>
      <c r="C10" s="34"/>
      <c r="D10" s="38">
        <f>IF(ISERROR(TER_ander_gas_kWh/1000),0,TER_ander_gas_kWh/1000)*0.902</f>
        <v>8626.9769520000009</v>
      </c>
      <c r="E10" s="34">
        <f>$C$30*'E Balans VL '!I14/100/3.6*1000000</f>
        <v>62.923109938864009</v>
      </c>
      <c r="F10" s="34">
        <f>$C$30*('E Balans VL '!L14+'E Balans VL '!N14)/100/3.6*1000000</f>
        <v>2248.6440440771844</v>
      </c>
      <c r="G10" s="35"/>
      <c r="H10" s="34"/>
      <c r="I10" s="34"/>
      <c r="J10" s="34">
        <f>$C$30*('E Balans VL '!D14+'E Balans VL '!E14)/100/3.6*1000000</f>
        <v>0</v>
      </c>
      <c r="K10" s="34"/>
      <c r="L10" s="34"/>
      <c r="M10" s="34"/>
      <c r="N10" s="34">
        <f>$C$30*'E Balans VL '!Y14/100/3.6*1000000</f>
        <v>4436.9124507223905</v>
      </c>
      <c r="O10" s="34"/>
      <c r="P10" s="34"/>
      <c r="R10" s="33"/>
    </row>
    <row r="11" spans="1:18">
      <c r="A11" s="33" t="s">
        <v>54</v>
      </c>
      <c r="B11" s="38">
        <f t="shared" si="0"/>
        <v>2203.6640000000002</v>
      </c>
      <c r="C11" s="34"/>
      <c r="D11" s="38">
        <f>IF(ISERROR(TER_onderwijs_gas_kWh/1000),0,TER_onderwijs_gas_kWh/1000)*0.902</f>
        <v>4493.277822</v>
      </c>
      <c r="E11" s="34">
        <f>$C$31*'E Balans VL '!I11/100/3.6*1000000</f>
        <v>1.3582455077844364</v>
      </c>
      <c r="F11" s="34">
        <f>$C$31*('E Balans VL '!L11+'E Balans VL '!N11)/100/3.6*1000000</f>
        <v>851.97219000976088</v>
      </c>
      <c r="G11" s="35"/>
      <c r="H11" s="34"/>
      <c r="I11" s="34"/>
      <c r="J11" s="34">
        <f>$C$31*('E Balans VL '!D11+'E Balans VL '!E11)/100/3.6*1000000</f>
        <v>0</v>
      </c>
      <c r="K11" s="34"/>
      <c r="L11" s="34"/>
      <c r="M11" s="34"/>
      <c r="N11" s="34">
        <f>$C$31*'E Balans VL '!Y11/100/3.6*1000000</f>
        <v>7.1680467568877013</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518.85</v>
      </c>
      <c r="C13" s="246">
        <f ca="1">'lokale energieproductie'!O38+'lokale energieproductie'!O31</f>
        <v>34.071428571428577</v>
      </c>
      <c r="D13" s="305">
        <f ca="1">('lokale energieproductie'!P31+'lokale energieproductie'!P38)*(-1)</f>
        <v>-68.142857142857153</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-1414.2857142857144</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91899.192000000025</v>
      </c>
      <c r="C16" s="22">
        <f t="shared" ca="1" si="1"/>
        <v>34.071428571428577</v>
      </c>
      <c r="D16" s="22">
        <f t="shared" ca="1" si="1"/>
        <v>81255.333772857135</v>
      </c>
      <c r="E16" s="22">
        <f t="shared" si="1"/>
        <v>699.76382073073069</v>
      </c>
      <c r="F16" s="22">
        <f t="shared" ca="1" si="1"/>
        <v>19297.905576840414</v>
      </c>
      <c r="G16" s="22">
        <f t="shared" si="1"/>
        <v>0</v>
      </c>
      <c r="H16" s="22">
        <f t="shared" si="1"/>
        <v>0</v>
      </c>
      <c r="I16" s="22">
        <f t="shared" si="1"/>
        <v>0</v>
      </c>
      <c r="J16" s="22">
        <f t="shared" si="1"/>
        <v>0</v>
      </c>
      <c r="K16" s="22">
        <f t="shared" si="1"/>
        <v>0</v>
      </c>
      <c r="L16" s="22">
        <f t="shared" ca="1" si="1"/>
        <v>0</v>
      </c>
      <c r="M16" s="22">
        <f t="shared" si="1"/>
        <v>0</v>
      </c>
      <c r="N16" s="22">
        <f t="shared" ca="1" si="1"/>
        <v>3315.2278266028216</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0.20515885008113999</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18853.932554105904</v>
      </c>
      <c r="C20" s="24">
        <f t="shared" ref="C20:P20" ca="1" si="2">C16*C18</f>
        <v>8.0969747899159685</v>
      </c>
      <c r="D20" s="24">
        <f t="shared" ca="1" si="2"/>
        <v>16413.577422117141</v>
      </c>
      <c r="E20" s="24">
        <f t="shared" si="2"/>
        <v>158.84638730587588</v>
      </c>
      <c r="F20" s="24">
        <f t="shared" ca="1" si="2"/>
        <v>5152.5407890163906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26425.555</v>
      </c>
      <c r="C26" s="40">
        <f>IF(ISERROR(B26*3.6/1000000/'E Balans VL '!Z12*100),0,B26*3.6/1000000/'E Balans VL '!Z12*100)</f>
        <v>0.56152409316416252</v>
      </c>
      <c r="D26" s="236" t="s">
        <v>691</v>
      </c>
      <c r="F26" s="6"/>
    </row>
    <row r="27" spans="1:18">
      <c r="A27" s="231" t="s">
        <v>52</v>
      </c>
      <c r="B27" s="34">
        <f>IF(ISERROR(TER_horeca_ele_kWh/1000),0,TER_horeca_ele_kWh/1000)</f>
        <v>7461.1440000000002</v>
      </c>
      <c r="C27" s="40">
        <f>IF(ISERROR(B27*3.6/1000000/'E Balans VL '!Z9*100),0,B27*3.6/1000000/'E Balans VL '!Z9*100)</f>
        <v>0.58724972957634081</v>
      </c>
      <c r="D27" s="236" t="s">
        <v>691</v>
      </c>
      <c r="F27" s="6"/>
    </row>
    <row r="28" spans="1:18">
      <c r="A28" s="171" t="s">
        <v>51</v>
      </c>
      <c r="B28" s="34">
        <f>IF(ISERROR(TER_handel_ele_kWh/1000),0,TER_handel_ele_kWh/1000)</f>
        <v>35903.192000000003</v>
      </c>
      <c r="C28" s="40">
        <f>IF(ISERROR(B28*3.6/1000000/'E Balans VL '!Z13*100),0,B28*3.6/1000000/'E Balans VL '!Z13*100)</f>
        <v>1.0056676225497705</v>
      </c>
      <c r="D28" s="236" t="s">
        <v>691</v>
      </c>
      <c r="F28" s="6"/>
    </row>
    <row r="29" spans="1:18">
      <c r="A29" s="231" t="s">
        <v>50</v>
      </c>
      <c r="B29" s="34">
        <f>IF(ISERROR(TER_gezond_ele_kWh/1000),0,TER_gezond_ele_kWh/1000)</f>
        <v>11695.415000000001</v>
      </c>
      <c r="C29" s="40">
        <f>IF(ISERROR(B29*3.6/1000000/'E Balans VL '!Z10*100),0,B29*3.6/1000000/'E Balans VL '!Z10*100)</f>
        <v>1.496197233606356</v>
      </c>
      <c r="D29" s="236" t="s">
        <v>691</v>
      </c>
      <c r="F29" s="6"/>
    </row>
    <row r="30" spans="1:18">
      <c r="A30" s="231" t="s">
        <v>49</v>
      </c>
      <c r="B30" s="34">
        <f>IF(ISERROR(TER_ander_ele_kWh/1000),0,TER_ander_ele_kWh/1000)</f>
        <v>7691.3720000000003</v>
      </c>
      <c r="C30" s="40">
        <f>IF(ISERROR(B30*3.6/1000000/'E Balans VL '!Z14*100),0,B30*3.6/1000000/'E Balans VL '!Z14*100)</f>
        <v>0.57524981696739252</v>
      </c>
      <c r="D30" s="236" t="s">
        <v>691</v>
      </c>
      <c r="F30" s="6"/>
    </row>
    <row r="31" spans="1:18">
      <c r="A31" s="231" t="s">
        <v>54</v>
      </c>
      <c r="B31" s="34">
        <f>IF(ISERROR(TER_onderwijs_ele_kWh/1000),0,TER_onderwijs_ele_kWh/1000)</f>
        <v>2203.6640000000002</v>
      </c>
      <c r="C31" s="40">
        <f>IF(ISERROR(B31*3.6/1000000/'E Balans VL '!Z11*100),0,B31*3.6/1000000/'E Balans VL '!Z11*100)</f>
        <v>0.46530650807450186</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85415.497999999992</v>
      </c>
      <c r="C5" s="18">
        <f>IF(ISERROR('Eigen informatie GS &amp; warmtenet'!B59),0,'Eigen informatie GS &amp; warmtenet'!B59)</f>
        <v>0</v>
      </c>
      <c r="D5" s="31">
        <f>SUM(D6:D15)</f>
        <v>102341.49367200001</v>
      </c>
      <c r="E5" s="18">
        <f>SUM(E6:E15)</f>
        <v>790.47274699627008</v>
      </c>
      <c r="F5" s="18">
        <f>SUM(F6:F15)</f>
        <v>13583.691756001936</v>
      </c>
      <c r="G5" s="19"/>
      <c r="H5" s="18"/>
      <c r="I5" s="18"/>
      <c r="J5" s="18">
        <f>SUM(J6:J15)</f>
        <v>1122.2116768869507</v>
      </c>
      <c r="K5" s="18"/>
      <c r="L5" s="18"/>
      <c r="M5" s="18"/>
      <c r="N5" s="18">
        <f>SUM(N6:N15)</f>
        <v>767.26074163695648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68060.487999999998</v>
      </c>
      <c r="C8" s="34"/>
      <c r="D8" s="38">
        <f>IF( ISERROR(IND_metaal_Gas_kWH/1000),0,IND_metaal_Gas_kWH/1000)*0.902</f>
        <v>46659.303636000004</v>
      </c>
      <c r="E8" s="34">
        <f>C30*'E Balans VL '!I18/100/3.6*1000000</f>
        <v>619.81459887521362</v>
      </c>
      <c r="F8" s="34">
        <f>C30*'E Balans VL '!L18/100/3.6*1000000+C30*'E Balans VL '!N18/100/3.6*1000000</f>
        <v>8976.6615069767759</v>
      </c>
      <c r="G8" s="35"/>
      <c r="H8" s="34"/>
      <c r="I8" s="34"/>
      <c r="J8" s="41">
        <f>C30*'E Balans VL '!D18/100/3.6*1000000+C30*'E Balans VL '!E18/100/3.6*1000000</f>
        <v>1116.0931829298354</v>
      </c>
      <c r="K8" s="34"/>
      <c r="L8" s="34"/>
      <c r="M8" s="34"/>
      <c r="N8" s="34">
        <f>C30*'E Balans VL '!Y18/100/3.6*1000000</f>
        <v>233.89686029649704</v>
      </c>
      <c r="O8" s="34"/>
      <c r="P8" s="34"/>
      <c r="R8" s="33"/>
    </row>
    <row r="9" spans="1:18">
      <c r="A9" s="6" t="s">
        <v>32</v>
      </c>
      <c r="B9" s="38">
        <f t="shared" si="0"/>
        <v>3727.482</v>
      </c>
      <c r="C9" s="34"/>
      <c r="D9" s="38">
        <f>IF( ISERROR(IND_andere_gas_kWh/1000),0,IND_andere_gas_kWh/1000)*0.902</f>
        <v>9599.2698120000005</v>
      </c>
      <c r="E9" s="34">
        <f>C31*'E Balans VL '!I19/100/3.6*1000000</f>
        <v>21.545402986111604</v>
      </c>
      <c r="F9" s="34">
        <f>C31*'E Balans VL '!L19/100/3.6*1000000+C31*'E Balans VL '!N19/100/3.6*1000000</f>
        <v>2965.3912903363298</v>
      </c>
      <c r="G9" s="35"/>
      <c r="H9" s="34"/>
      <c r="I9" s="34"/>
      <c r="J9" s="41">
        <f>C31*'E Balans VL '!D19/100/3.6*1000000+C31*'E Balans VL '!E19/100/3.6*1000000</f>
        <v>0.35257839350265391</v>
      </c>
      <c r="K9" s="34"/>
      <c r="L9" s="34"/>
      <c r="M9" s="34"/>
      <c r="N9" s="34">
        <f>C31*'E Balans VL '!Y19/100/3.6*1000000</f>
        <v>282.41317063037661</v>
      </c>
      <c r="O9" s="34"/>
      <c r="P9" s="34"/>
      <c r="R9" s="33"/>
    </row>
    <row r="10" spans="1:18">
      <c r="A10" s="6" t="s">
        <v>40</v>
      </c>
      <c r="B10" s="38">
        <f t="shared" si="0"/>
        <v>12268.055</v>
      </c>
      <c r="C10" s="34"/>
      <c r="D10" s="38">
        <f>IF( ISERROR(IND_voed_gas_kWh/1000),0,IND_voed_gas_kWh/1000)*0.902</f>
        <v>45283.055488000005</v>
      </c>
      <c r="E10" s="34">
        <f>C32*'E Balans VL '!I20/100/3.6*1000000</f>
        <v>120.62707573821717</v>
      </c>
      <c r="F10" s="34">
        <f>C32*'E Balans VL '!L20/100/3.6*1000000+C32*'E Balans VL '!N20/100/3.6*1000000</f>
        <v>1362.5276383092912</v>
      </c>
      <c r="G10" s="35"/>
      <c r="H10" s="34"/>
      <c r="I10" s="34"/>
      <c r="J10" s="41">
        <f>C32*'E Balans VL '!D20/100/3.6*1000000+C32*'E Balans VL '!E20/100/3.6*1000000</f>
        <v>4.8353974116848671E-2</v>
      </c>
      <c r="K10" s="34"/>
      <c r="L10" s="34"/>
      <c r="M10" s="34"/>
      <c r="N10" s="34">
        <f>C32*'E Balans VL '!Y20/100/3.6*1000000</f>
        <v>181.66103704283574</v>
      </c>
      <c r="O10" s="34"/>
      <c r="P10" s="34"/>
      <c r="R10" s="33"/>
    </row>
    <row r="11" spans="1:18">
      <c r="A11" s="6" t="s">
        <v>39</v>
      </c>
      <c r="B11" s="38">
        <f t="shared" si="0"/>
        <v>312.04899999999998</v>
      </c>
      <c r="C11" s="34"/>
      <c r="D11" s="38">
        <f>IF( ISERROR(IND_textiel_gas_kWh/1000),0,IND_textiel_gas_kWh/1000)*0.902</f>
        <v>243.681614</v>
      </c>
      <c r="E11" s="34">
        <f>C33*'E Balans VL '!I21/100/3.6*1000000</f>
        <v>0.60763186291409843</v>
      </c>
      <c r="F11" s="34">
        <f>C33*'E Balans VL '!L21/100/3.6*1000000+C33*'E Balans VL '!N21/100/3.6*1000000</f>
        <v>10.292400009911361</v>
      </c>
      <c r="G11" s="35"/>
      <c r="H11" s="34"/>
      <c r="I11" s="34"/>
      <c r="J11" s="41">
        <f>C33*'E Balans VL '!D21/100/3.6*1000000+C33*'E Balans VL '!E21/100/3.6*1000000</f>
        <v>0</v>
      </c>
      <c r="K11" s="34"/>
      <c r="L11" s="34"/>
      <c r="M11" s="34"/>
      <c r="N11" s="34">
        <f>C33*'E Balans VL '!Y21/100/3.6*1000000</f>
        <v>3.2367688741943339</v>
      </c>
      <c r="O11" s="34"/>
      <c r="P11" s="34"/>
      <c r="R11" s="33"/>
    </row>
    <row r="12" spans="1:18">
      <c r="A12" s="6" t="s">
        <v>36</v>
      </c>
      <c r="B12" s="38">
        <f t="shared" si="0"/>
        <v>855.07899999999995</v>
      </c>
      <c r="C12" s="34"/>
      <c r="D12" s="38">
        <f>IF( ISERROR(IND_min_gas_kWh/1000),0,IND_min_gas_kWh/1000)*0.902</f>
        <v>103.26096000000001</v>
      </c>
      <c r="E12" s="34">
        <f>C34*'E Balans VL '!I22/100/3.6*1000000</f>
        <v>21.677774258871693</v>
      </c>
      <c r="F12" s="34">
        <f>C34*'E Balans VL '!L22/100/3.6*1000000+C34*'E Balans VL '!N22/100/3.6*1000000</f>
        <v>236.60333975504824</v>
      </c>
      <c r="G12" s="35"/>
      <c r="H12" s="34"/>
      <c r="I12" s="34"/>
      <c r="J12" s="41">
        <f>C34*'E Balans VL '!D22/100/3.6*1000000+C34*'E Balans VL '!E22/100/3.6*1000000</f>
        <v>5.6471135449184207</v>
      </c>
      <c r="K12" s="34"/>
      <c r="L12" s="34"/>
      <c r="M12" s="34"/>
      <c r="N12" s="34">
        <f>C34*'E Balans VL '!Y22/100/3.6*1000000</f>
        <v>0</v>
      </c>
      <c r="O12" s="34"/>
      <c r="P12" s="34"/>
      <c r="R12" s="33"/>
    </row>
    <row r="13" spans="1:18">
      <c r="A13" s="6" t="s">
        <v>38</v>
      </c>
      <c r="B13" s="38">
        <f t="shared" si="0"/>
        <v>178.33600000000001</v>
      </c>
      <c r="C13" s="34"/>
      <c r="D13" s="38">
        <f>IF( ISERROR(IND_papier_gas_kWh/1000),0,IND_papier_gas_kWh/1000)*0.902</f>
        <v>330.32592999999997</v>
      </c>
      <c r="E13" s="34">
        <f>C35*'E Balans VL '!I23/100/3.6*1000000</f>
        <v>6.074382730482772</v>
      </c>
      <c r="F13" s="34">
        <f>C35*'E Balans VL '!L23/100/3.6*1000000+C35*'E Balans VL '!N23/100/3.6*1000000</f>
        <v>29.45692174417432</v>
      </c>
      <c r="G13" s="35"/>
      <c r="H13" s="34"/>
      <c r="I13" s="34"/>
      <c r="J13" s="41">
        <f>C35*'E Balans VL '!D23/100/3.6*1000000+C35*'E Balans VL '!E23/100/3.6*1000000</f>
        <v>0</v>
      </c>
      <c r="K13" s="34"/>
      <c r="L13" s="34"/>
      <c r="M13" s="34"/>
      <c r="N13" s="34">
        <f>C35*'E Balans VL '!Y23/100/3.6*1000000</f>
        <v>65.622865399227464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14.009</v>
      </c>
      <c r="C15" s="34"/>
      <c r="D15" s="38">
        <f>IF( ISERROR(IND_rest_gas_kWh/1000),0,IND_rest_gas_kWh/1000)*0.902</f>
        <v>122.596232</v>
      </c>
      <c r="E15" s="34">
        <f>C37*'E Balans VL '!I15/100/3.6*1000000</f>
        <v>0.12588054445916633</v>
      </c>
      <c r="F15" s="34">
        <f>C37*'E Balans VL '!L15/100/3.6*1000000+C37*'E Balans VL '!N15/100/3.6*1000000</f>
        <v>2.7586588704015109</v>
      </c>
      <c r="G15" s="35"/>
      <c r="H15" s="34"/>
      <c r="I15" s="34"/>
      <c r="J15" s="41">
        <f>C37*'E Balans VL '!D15/100/3.6*1000000+C37*'E Balans VL '!E15/100/3.6*1000000</f>
        <v>7.0448044577120367E-2</v>
      </c>
      <c r="K15" s="34"/>
      <c r="L15" s="34"/>
      <c r="M15" s="34"/>
      <c r="N15" s="34">
        <f>C37*'E Balans VL '!Y15/100/3.6*1000000</f>
        <v>0.43003939382535045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85415.497999999992</v>
      </c>
      <c r="C18" s="22">
        <f>C5+C16</f>
        <v>0</v>
      </c>
      <c r="D18" s="22">
        <f>MAX((D5+D16),0)</f>
        <v>102341.49367200001</v>
      </c>
      <c r="E18" s="22">
        <f>MAX((E5+E16),0)</f>
        <v>790.47274699627008</v>
      </c>
      <c r="F18" s="22">
        <f>MAX((F5+F16),0)</f>
        <v>13583.691756001936</v>
      </c>
      <c r="G18" s="22"/>
      <c r="H18" s="22"/>
      <c r="I18" s="22"/>
      <c r="J18" s="22">
        <f>MAX((J5+J16),0)</f>
        <v>1122.2116768869507</v>
      </c>
      <c r="K18" s="22"/>
      <c r="L18" s="22">
        <f>MAX((L5+L16),0)</f>
        <v>0</v>
      </c>
      <c r="M18" s="22"/>
      <c r="N18" s="22">
        <f>MAX((N5+N16),0)</f>
        <v>767.26074163695648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0.20515885008113999</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17523.74534878791</v>
      </c>
      <c r="C22" s="24">
        <f ca="1">C18*C20</f>
        <v>0</v>
      </c>
      <c r="D22" s="24">
        <f>D18*D20</f>
        <v>20672.981721744003</v>
      </c>
      <c r="E22" s="24">
        <f>E18*E20</f>
        <v>179.43731356815331</v>
      </c>
      <c r="F22" s="24">
        <f>F18*F20</f>
        <v>3626.8456988525172</v>
      </c>
      <c r="G22" s="24"/>
      <c r="H22" s="24"/>
      <c r="I22" s="24"/>
      <c r="J22" s="24">
        <f>J18*J20</f>
        <v>397.26293361798054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68060.487999999998</v>
      </c>
      <c r="C30" s="40">
        <f>IF(ISERROR(B30*3.6/1000000/'E Balans VL '!Z18*100),0,B30*3.6/1000000/'E Balans VL '!Z18*100)</f>
        <v>3.787111040621526</v>
      </c>
      <c r="D30" s="236" t="s">
        <v>691</v>
      </c>
    </row>
    <row r="31" spans="1:18">
      <c r="A31" s="6" t="s">
        <v>32</v>
      </c>
      <c r="B31" s="38">
        <f>IF( ISERROR(IND_ander_ele_kWh/1000),0,IND_ander_ele_kWh/1000)</f>
        <v>3727.482</v>
      </c>
      <c r="C31" s="40">
        <f>IF(ISERROR(B31*3.6/1000000/'E Balans VL '!Z19*100),0,B31*3.6/1000000/'E Balans VL '!Z19*100)</f>
        <v>0.17328084868389818</v>
      </c>
      <c r="D31" s="236" t="s">
        <v>691</v>
      </c>
    </row>
    <row r="32" spans="1:18">
      <c r="A32" s="171" t="s">
        <v>40</v>
      </c>
      <c r="B32" s="38">
        <f>IF( ISERROR(IND_voed_ele_kWh/1000),0,IND_voed_ele_kWh/1000)</f>
        <v>12268.055</v>
      </c>
      <c r="C32" s="40">
        <f>IF(ISERROR(B32*3.6/1000000/'E Balans VL '!Z20*100),0,B32*3.6/1000000/'E Balans VL '!Z20*100)</f>
        <v>0.43365096786363666</v>
      </c>
      <c r="D32" s="236" t="s">
        <v>691</v>
      </c>
    </row>
    <row r="33" spans="1:5">
      <c r="A33" s="171" t="s">
        <v>39</v>
      </c>
      <c r="B33" s="38">
        <f>IF( ISERROR(IND_textiel_ele_kWh/1000),0,IND_textiel_ele_kWh/1000)</f>
        <v>312.04899999999998</v>
      </c>
      <c r="C33" s="40">
        <f>IF(ISERROR(B33*3.6/1000000/'E Balans VL '!Z21*100),0,B33*3.6/1000000/'E Balans VL '!Z21*100)</f>
        <v>4.2146952461748474E-2</v>
      </c>
      <c r="D33" s="236" t="s">
        <v>691</v>
      </c>
    </row>
    <row r="34" spans="1:5">
      <c r="A34" s="171" t="s">
        <v>36</v>
      </c>
      <c r="B34" s="38">
        <f>IF( ISERROR(IND_min_ele_kWh/1000),0,IND_min_ele_kWh/1000)</f>
        <v>855.07899999999995</v>
      </c>
      <c r="C34" s="40">
        <f>IF(ISERROR(B34*3.6/1000000/'E Balans VL '!Z22*100),0,B34*3.6/1000000/'E Balans VL '!Z22*100)</f>
        <v>0.17184676658681619</v>
      </c>
      <c r="D34" s="236" t="s">
        <v>691</v>
      </c>
    </row>
    <row r="35" spans="1:5">
      <c r="A35" s="171" t="s">
        <v>38</v>
      </c>
      <c r="B35" s="38">
        <f>IF( ISERROR(IND_papier_ele_kWh/1000),0,IND_papier_ele_kWh/1000)</f>
        <v>178.33600000000001</v>
      </c>
      <c r="C35" s="40">
        <f>IF(ISERROR(B35*3.6/1000000/'E Balans VL '!Z22*100),0,B35*3.6/1000000/'E Balans VL '!Z22*100)</f>
        <v>3.5840507094697049E-2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14.009</v>
      </c>
      <c r="C37" s="40">
        <f>IF(ISERROR(B37*3.6/1000000/'E Balans VL '!Z15*100),0,B37*3.6/1000000/'E Balans VL '!Z15*100)</f>
        <v>1.0578864442230641E-4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8998.75</v>
      </c>
      <c r="C5" s="18">
        <f>'Eigen informatie GS &amp; warmtenet'!B60</f>
        <v>0</v>
      </c>
      <c r="D5" s="31">
        <f>IF(ISERROR(SUM(LB_lb_gas_kWh,LB_rest_gas_kWh)/1000),0,SUM(LB_lb_gas_kWh,LB_rest_gas_kWh)/1000)*0.902</f>
        <v>4128.2979540000006</v>
      </c>
      <c r="E5" s="18">
        <f>B17*'E Balans VL '!I25/3.6*1000000/100</f>
        <v>84.77425436028166</v>
      </c>
      <c r="F5" s="18">
        <f>B17*('E Balans VL '!L25/3.6*1000000+'E Balans VL '!N25/3.6*1000000)/100</f>
        <v>29365.907672847599</v>
      </c>
      <c r="G5" s="19"/>
      <c r="H5" s="18"/>
      <c r="I5" s="18"/>
      <c r="J5" s="18">
        <f>('E Balans VL '!D25+'E Balans VL '!E25)/3.6*1000000*landbouw!B17/100</f>
        <v>1113.1891449115919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8998.75</v>
      </c>
      <c r="C8" s="22">
        <f>C5+C6</f>
        <v>0</v>
      </c>
      <c r="D8" s="22">
        <f>MAX((D5+D6),0)</f>
        <v>4128.2979540000006</v>
      </c>
      <c r="E8" s="22">
        <f>MAX((E5+E6),0)</f>
        <v>84.77425436028166</v>
      </c>
      <c r="F8" s="22">
        <f>MAX((F5+F6),0)</f>
        <v>29365.907672847599</v>
      </c>
      <c r="G8" s="22"/>
      <c r="H8" s="22"/>
      <c r="I8" s="22"/>
      <c r="J8" s="22">
        <f>MAX((J5+J6),0)</f>
        <v>1113.1891449115919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0.20515885008113999</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1846.1732021676585</v>
      </c>
      <c r="C12" s="24">
        <f ca="1">C8*C10</f>
        <v>0</v>
      </c>
      <c r="D12" s="24">
        <f>D8*D10</f>
        <v>833.91618670800017</v>
      </c>
      <c r="E12" s="24">
        <f>E8*E10</f>
        <v>19.243755739783936</v>
      </c>
      <c r="F12" s="24">
        <f>F8*F10</f>
        <v>7840.6973486503093</v>
      </c>
      <c r="G12" s="24"/>
      <c r="H12" s="24"/>
      <c r="I12" s="24"/>
      <c r="J12" s="24">
        <f>J8*J10</f>
        <v>394.06895729870354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1.2182869545717039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191.7947892364416</v>
      </c>
      <c r="C26" s="246">
        <f>B26*'GWP N2O_CH4'!B5</f>
        <v>4027.6905739652739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54.392838106063749</v>
      </c>
      <c r="C27" s="246">
        <f>B27*'GWP N2O_CH4'!B5</f>
        <v>1142.2496002273388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3.5571134212563922</v>
      </c>
      <c r="C28" s="246">
        <f>B28*'GWP N2O_CH4'!B4</f>
        <v>1102.7051605894815</v>
      </c>
      <c r="D28" s="51"/>
    </row>
    <row r="29" spans="1:4">
      <c r="A29" s="42" t="s">
        <v>272</v>
      </c>
      <c r="B29" s="246">
        <f>B34*'ha_N2O bodem landbouw'!B4</f>
        <v>33.638210245402711</v>
      </c>
      <c r="C29" s="246">
        <f>B29*'GWP N2O_CH4'!B4</f>
        <v>10427.845176074839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9.0812578264242421E-3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5.1297611140798179E-5</v>
      </c>
      <c r="C5" s="435" t="s">
        <v>210</v>
      </c>
      <c r="D5" s="420">
        <f>SUM(D6:D11)</f>
        <v>6.6844835881026897E-5</v>
      </c>
      <c r="E5" s="420">
        <f>SUM(E6:E11)</f>
        <v>4.2563095549793713E-3</v>
      </c>
      <c r="F5" s="433" t="s">
        <v>210</v>
      </c>
      <c r="G5" s="420">
        <f>SUM(G6:G11)</f>
        <v>0.94573095487746306</v>
      </c>
      <c r="H5" s="420">
        <f>SUM(H6:H11)</f>
        <v>0.16037978373089762</v>
      </c>
      <c r="I5" s="435" t="s">
        <v>210</v>
      </c>
      <c r="J5" s="435" t="s">
        <v>210</v>
      </c>
      <c r="K5" s="435" t="s">
        <v>210</v>
      </c>
      <c r="L5" s="435" t="s">
        <v>210</v>
      </c>
      <c r="M5" s="420">
        <f>SUM(M6:M11)</f>
        <v>4.9427187062655642E-2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3.7137300147355002E-5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4.3253125417677736E-5</v>
      </c>
      <c r="E6" s="423">
        <f>vkm_GW_PW*SUMIFS(TableVerdeelsleutelVkm[LPG],TableVerdeelsleutelVkm[Voertuigtype],"Lichte voertuigen")*SUMIFS(TableECFTransport[EnergieConsumptieFactor (PJ per km)],TableECFTransport[Index],CONCATENATE($A6,"_LPG_LPG"))</f>
        <v>2.8061516292685867E-3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0.43781241253345643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0.10551272215139898</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2.4313835161011942E-2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1.6690807262051493E-6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0.27610278680511235</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7.408821644714891E-6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1.2285673314738689E-2</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1.2402511262765054E-5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2.3591710463349167E-5</v>
      </c>
      <c r="E8" s="423">
        <f>vkm_NGW_PW*SUMIFS(TableVerdeelsleutelVkm[LPG],TableVerdeelsleutelVkm[Voertuigtype],"Lichte voertuigen")*SUMIFS(TableECFTransport[EnergieConsumptieFactor (PJ per km)],TableECFTransport[Index],CONCATENATE($A8,"_LPG_LPG"))</f>
        <v>1.4501579257107848E-3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0.21299594995374457</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5.4859177417260527E-2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1.1990259990734465E-2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8.8719004472973367E-8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1.8819805585149642E-2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4.7534059337685449E-7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8.374185961705522E-4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14.249336427999495</v>
      </c>
      <c r="C14" s="22"/>
      <c r="D14" s="22">
        <f t="shared" ref="D14:M14" si="0">((D5)*10^9/3600)+D12</f>
        <v>18.568009966951916</v>
      </c>
      <c r="E14" s="22">
        <f t="shared" si="0"/>
        <v>1182.308209716492</v>
      </c>
      <c r="F14" s="22"/>
      <c r="G14" s="22">
        <f t="shared" si="0"/>
        <v>262703.04302151751</v>
      </c>
      <c r="H14" s="22">
        <f t="shared" si="0"/>
        <v>44549.939925249331</v>
      </c>
      <c r="I14" s="22"/>
      <c r="J14" s="22"/>
      <c r="K14" s="22"/>
      <c r="L14" s="22"/>
      <c r="M14" s="22">
        <f t="shared" si="0"/>
        <v>13729.774184071011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0.20515885008113999</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2.9233774759876749</v>
      </c>
      <c r="C18" s="24"/>
      <c r="D18" s="24">
        <f t="shared" ref="D18:M18" si="1">D14*D16</f>
        <v>3.7507380133242871</v>
      </c>
      <c r="E18" s="24">
        <f t="shared" si="1"/>
        <v>268.38396360564371</v>
      </c>
      <c r="F18" s="24"/>
      <c r="G18" s="24">
        <f t="shared" si="1"/>
        <v>70141.712486745178</v>
      </c>
      <c r="H18" s="24">
        <f t="shared" si="1"/>
        <v>11092.935041387083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1.0709267745723829E-4</v>
      </c>
      <c r="C50" s="316">
        <f t="shared" ref="C50:P50" si="2">SUM(C51:C52)</f>
        <v>0</v>
      </c>
      <c r="D50" s="316">
        <f t="shared" si="2"/>
        <v>0</v>
      </c>
      <c r="E50" s="316">
        <f t="shared" si="2"/>
        <v>0</v>
      </c>
      <c r="F50" s="316">
        <f t="shared" si="2"/>
        <v>0</v>
      </c>
      <c r="G50" s="316">
        <f t="shared" si="2"/>
        <v>2.1359845659058071E-2</v>
      </c>
      <c r="H50" s="316">
        <f t="shared" si="2"/>
        <v>0</v>
      </c>
      <c r="I50" s="316">
        <f t="shared" si="2"/>
        <v>0</v>
      </c>
      <c r="J50" s="316">
        <f t="shared" si="2"/>
        <v>0</v>
      </c>
      <c r="K50" s="316">
        <f t="shared" si="2"/>
        <v>0</v>
      </c>
      <c r="L50" s="316">
        <f t="shared" si="2"/>
        <v>0</v>
      </c>
      <c r="M50" s="316">
        <f t="shared" si="2"/>
        <v>9.4408242861772785E-4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1.0709267745723829E-4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2.1359845659058071E-2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9.4408242861772785E-4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29.747965960343972</v>
      </c>
      <c r="C54" s="22">
        <f t="shared" ref="C54:P54" si="3">(C50)*10^9/3600</f>
        <v>0</v>
      </c>
      <c r="D54" s="22">
        <f t="shared" si="3"/>
        <v>0</v>
      </c>
      <c r="E54" s="22">
        <f t="shared" si="3"/>
        <v>0</v>
      </c>
      <c r="F54" s="22">
        <f t="shared" si="3"/>
        <v>0</v>
      </c>
      <c r="G54" s="22">
        <f t="shared" si="3"/>
        <v>5933.2904608494646</v>
      </c>
      <c r="H54" s="22">
        <f t="shared" si="3"/>
        <v>0</v>
      </c>
      <c r="I54" s="22">
        <f t="shared" si="3"/>
        <v>0</v>
      </c>
      <c r="J54" s="22">
        <f t="shared" si="3"/>
        <v>0</v>
      </c>
      <c r="K54" s="22">
        <f t="shared" si="3"/>
        <v>0</v>
      </c>
      <c r="L54" s="22">
        <f t="shared" si="3"/>
        <v>0</v>
      </c>
      <c r="M54" s="22">
        <f t="shared" si="3"/>
        <v>262.24511906047996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0.20515885008113999</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6.1030584886770649</v>
      </c>
      <c r="C58" s="24">
        <f t="shared" ref="C58:P58" ca="1" si="4">C54*C56</f>
        <v>0</v>
      </c>
      <c r="D58" s="24">
        <f t="shared" si="4"/>
        <v>0</v>
      </c>
      <c r="E58" s="24">
        <f t="shared" si="4"/>
        <v>0</v>
      </c>
      <c r="F58" s="24">
        <f t="shared" si="4"/>
        <v>0</v>
      </c>
      <c r="G58" s="24">
        <f t="shared" si="4"/>
        <v>1584.1885530468071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18166.993607600325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23.85</v>
      </c>
      <c r="C8" s="546">
        <f>B48</f>
        <v>28.058823529411768</v>
      </c>
      <c r="D8" s="969"/>
      <c r="E8" s="969">
        <f>E48</f>
        <v>0</v>
      </c>
      <c r="F8" s="970"/>
      <c r="G8" s="547"/>
      <c r="H8" s="969">
        <f>I48</f>
        <v>0</v>
      </c>
      <c r="I8" s="969">
        <f>G48+F48</f>
        <v>0</v>
      </c>
      <c r="J8" s="969">
        <f>H48+D48+C48</f>
        <v>0</v>
      </c>
      <c r="K8" s="969"/>
      <c r="L8" s="969"/>
      <c r="M8" s="969"/>
      <c r="N8" s="548"/>
      <c r="O8" s="549">
        <f>C8*$C$12+D8*$D$12+E8*$E$12+F8*$F$12+G8*$G$12+H8*$H$12+I8*$I$12+J8*$J$12</f>
        <v>5.6678823529411773</v>
      </c>
      <c r="P8" s="1243"/>
      <c r="Q8" s="1244"/>
      <c r="S8" s="1006"/>
      <c r="T8" s="1264"/>
      <c r="U8" s="1264"/>
    </row>
    <row r="9" spans="1:21" s="534" customFormat="1" ht="17.45" customHeight="1" thickBot="1">
      <c r="A9" s="550" t="s">
        <v>243</v>
      </c>
      <c r="B9" s="971">
        <f>N36+'Eigen informatie GS &amp; warmtenet'!B12</f>
        <v>495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18685.843607600324</v>
      </c>
      <c r="C10" s="558">
        <f t="shared" ref="C10:L10" si="0">SUM(C8:C9)</f>
        <v>28.058823529411768</v>
      </c>
      <c r="D10" s="558">
        <f t="shared" si="0"/>
        <v>0</v>
      </c>
      <c r="E10" s="558">
        <f t="shared" si="0"/>
        <v>0</v>
      </c>
      <c r="F10" s="558">
        <f t="shared" si="0"/>
        <v>0</v>
      </c>
      <c r="G10" s="558">
        <f t="shared" si="0"/>
        <v>0</v>
      </c>
      <c r="H10" s="558">
        <f t="shared" si="0"/>
        <v>0</v>
      </c>
      <c r="I10" s="558">
        <f t="shared" si="0"/>
        <v>0</v>
      </c>
      <c r="J10" s="558">
        <f t="shared" si="0"/>
        <v>1414.2857142857144</v>
      </c>
      <c r="K10" s="558">
        <f t="shared" si="0"/>
        <v>0</v>
      </c>
      <c r="L10" s="558">
        <f t="shared" si="0"/>
        <v>0</v>
      </c>
      <c r="M10" s="973"/>
      <c r="N10" s="973"/>
      <c r="O10" s="559">
        <f>SUM(O4:O9)</f>
        <v>5.6678823529411773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34.071428571428577</v>
      </c>
      <c r="C17" s="570">
        <f>B49</f>
        <v>40.084033613445385</v>
      </c>
      <c r="D17" s="571"/>
      <c r="E17" s="571">
        <f>E49</f>
        <v>0</v>
      </c>
      <c r="F17" s="572"/>
      <c r="G17" s="573"/>
      <c r="H17" s="570">
        <f>I49</f>
        <v>0</v>
      </c>
      <c r="I17" s="571">
        <f>G49+F49</f>
        <v>0</v>
      </c>
      <c r="J17" s="571">
        <f>H49+D49+C49</f>
        <v>0</v>
      </c>
      <c r="K17" s="571"/>
      <c r="L17" s="571"/>
      <c r="M17" s="571"/>
      <c r="N17" s="976"/>
      <c r="O17" s="574">
        <f>C17*$C$22+E17*$E$22+H17*$H$22+I17*$I$22+J17*$J$22+D17*$D$22+F17*$F$22+G17*$G$22+K17*$K$22+L17*$L$22</f>
        <v>8.0969747899159685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34.071428571428577</v>
      </c>
      <c r="C20" s="557">
        <f>SUM(C17:C19)</f>
        <v>40.084033613445385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8.0969747899159685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71053</v>
      </c>
      <c r="C28" s="777">
        <v>3800</v>
      </c>
      <c r="D28" s="630" t="s">
        <v>965</v>
      </c>
      <c r="E28" s="629" t="s">
        <v>966</v>
      </c>
      <c r="F28" s="629" t="s">
        <v>967</v>
      </c>
      <c r="G28" s="629" t="s">
        <v>968</v>
      </c>
      <c r="H28" s="629" t="s">
        <v>969</v>
      </c>
      <c r="I28" s="629" t="s">
        <v>966</v>
      </c>
      <c r="J28" s="776">
        <v>39764</v>
      </c>
      <c r="K28" s="776">
        <v>40238</v>
      </c>
      <c r="L28" s="629" t="s">
        <v>970</v>
      </c>
      <c r="M28" s="629">
        <v>5.3</v>
      </c>
      <c r="N28" s="629">
        <v>23.85</v>
      </c>
      <c r="O28" s="629">
        <v>34.071428571428577</v>
      </c>
      <c r="P28" s="629">
        <v>68.142857142857153</v>
      </c>
      <c r="Q28" s="629">
        <v>0</v>
      </c>
      <c r="R28" s="629">
        <v>0</v>
      </c>
      <c r="S28" s="629">
        <v>0</v>
      </c>
      <c r="T28" s="629">
        <v>0</v>
      </c>
      <c r="U28" s="629">
        <v>0</v>
      </c>
      <c r="V28" s="629">
        <v>0</v>
      </c>
      <c r="W28" s="629"/>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5.3</v>
      </c>
      <c r="N29" s="587">
        <f>SUM(N28:N28)</f>
        <v>23.85</v>
      </c>
      <c r="O29" s="587">
        <f>SUM(O28:O28)</f>
        <v>34.071428571428577</v>
      </c>
      <c r="P29" s="587">
        <f>SUM(P28:P28)</f>
        <v>68.142857142857153</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5.3</v>
      </c>
      <c r="N31" s="587">
        <f ca="1">SUMIF($Z$28:AD28,"tertiair",N28:N28)</f>
        <v>23.85</v>
      </c>
      <c r="O31" s="587">
        <f ca="1">SUMIF($Z$28:AE28,"tertiair",O28:O28)</f>
        <v>34.071428571428577</v>
      </c>
      <c r="P31" s="587">
        <f ca="1">SUMIF($Z$28:AF28,"tertiair",P28:P28)</f>
        <v>68.142857142857153</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71053</v>
      </c>
      <c r="C35" s="777">
        <v>3800</v>
      </c>
      <c r="D35" s="632" t="s">
        <v>971</v>
      </c>
      <c r="E35" s="632" t="s">
        <v>972</v>
      </c>
      <c r="F35" s="632" t="s">
        <v>973</v>
      </c>
      <c r="G35" s="632" t="s">
        <v>974</v>
      </c>
      <c r="H35" s="632" t="s">
        <v>975</v>
      </c>
      <c r="I35" s="632" t="s">
        <v>976</v>
      </c>
      <c r="J35" s="776">
        <v>40606</v>
      </c>
      <c r="K35" s="776">
        <v>40606</v>
      </c>
      <c r="L35" s="632" t="s">
        <v>970</v>
      </c>
      <c r="M35" s="632">
        <v>110</v>
      </c>
      <c r="N35" s="632">
        <v>495</v>
      </c>
      <c r="O35" s="632">
        <v>0</v>
      </c>
      <c r="P35" s="632">
        <v>0</v>
      </c>
      <c r="Q35" s="632">
        <v>1414.2857142857144</v>
      </c>
      <c r="R35" s="632">
        <v>0</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110</v>
      </c>
      <c r="N36" s="587">
        <f>SUM(N35:N35)</f>
        <v>495</v>
      </c>
      <c r="O36" s="587">
        <f>SUM(O35:O35)</f>
        <v>0</v>
      </c>
      <c r="P36" s="587">
        <f>SUM(P35:P35)</f>
        <v>0</v>
      </c>
      <c r="Q36" s="587">
        <f>SUM(Q35:Q35)</f>
        <v>1414.2857142857144</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110</v>
      </c>
      <c r="N38" s="587">
        <f>SUMIF($Z$35:$Z$36,"tertiair",N35:N36)</f>
        <v>495</v>
      </c>
      <c r="O38" s="587">
        <f>SUMIF($Z$35:$Z$36,"tertiair",O35:O36)</f>
        <v>0</v>
      </c>
      <c r="P38" s="587">
        <f>SUMIF($Z$35:$Z$36,"tertiair",P35:P36)</f>
        <v>0</v>
      </c>
      <c r="Q38" s="587">
        <f>SUMIF($Z$35:$Z$36,"tertiair",Q35:Q36)</f>
        <v>1414.2857142857144</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28.058823529411768</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40.084033613445385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2021-06-29T16:48:45Z</dcterms:modified>
</cp:coreProperties>
</file>