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E49" i="18"/>
  <c r="E8" i="18" s="1"/>
  <c r="E10" i="18" s="1"/>
  <c r="C49" i="18"/>
  <c r="H49" i="18"/>
  <c r="D49" i="18"/>
  <c r="N6" i="17"/>
  <c r="L6" i="17"/>
  <c r="F6" i="17"/>
  <c r="D6" i="17"/>
  <c r="C6" i="17"/>
  <c r="N16" i="16"/>
  <c r="L16" i="16"/>
  <c r="F16" i="16"/>
  <c r="D16" i="16"/>
  <c r="C16" i="16"/>
  <c r="B16" i="16"/>
  <c r="B13" i="15"/>
  <c r="I49" i="18" l="1"/>
  <c r="H8" i="18" s="1"/>
  <c r="H10" i="18" s="1"/>
  <c r="F49" i="18"/>
  <c r="I8" i="18" s="1"/>
  <c r="G49" i="18"/>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<sst xmlns="http://schemas.openxmlformats.org/spreadsheetml/2006/main" count="2583" uniqueCount="974">
  <si>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</si>
  <si>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</si>
  <si>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</si>
  <si>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</si>
  <si>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</si>
  <si>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</si>
  <si>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</si>
  <si>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</si>
  <si>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</si>
  <si>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</si>
  <si>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</si>
  <si>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</si>
  <si>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</si>
  <si>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</si>
  <si>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</si>
  <si>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</si>
  <si>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</si>
  <si>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</si>
  <si>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</si>
  <si>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</si>
  <si>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</si>
  <si>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</si>
  <si>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</si>
  <si>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</si>
  <si>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</si>
  <si>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</si>
  <si>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</si>
  <si>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</si>
  <si>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</si>
  <si>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</si>
  <si>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</si>
  <si>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</si>
  <si>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</si>
  <si>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</si>
  <si>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</si>
  <si>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</si>
  <si>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</si>
  <si>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</si>
  <si>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</si>
  <si>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</si>
  <si>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</si>
  <si>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</si>
  <si>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</si>
  <si>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</si>
  <si>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</si>
  <si>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</si>
  <si>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</si>
  <si>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</si>
  <si>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</si>
  <si>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</si>
  <si>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</si>
  <si>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</si>
  <si>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</si>
  <si>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</si>
  <si>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</si>
  <si>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</si>
  <si>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</si>
  <si>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</si>
  <si>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</si>
  <si>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</si>
  <si>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</si>
  <si>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</si>
  <si>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</si>
  <si>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</si>
  <si>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</si>
  <si>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</si>
  <si>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</si>
  <si>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</si>
  <si>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</si>
  <si>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</si>
  <si>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</si>
  <si>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</si>
  <si>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</si>
  <si>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</si>
  <si>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</si>
  <si>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</si>
  <si>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</si>
  <si>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</si>
  <si>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</si>
  <si>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</si>
  <si>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</si>
  <si>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</si>
  <si>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</si>
  <si>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</si>
  <si>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</si>
  <si>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</si>
  <si>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</si>
  <si>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</si>
  <si>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</si>
  <si>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</si>
  <si>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</si>
  <si>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</si>
  <si>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</si>
  <si>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</si>
  <si>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</si>
  <si>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</si>
  <si>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</si>
  <si>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</si>
  <si>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</si>
  <si>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</si>
  <si>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</si>
  <si>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</si>
  <si>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</si>
  <si>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</si>
  <si>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</si>
  <si>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</si>
  <si>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</si>
  <si>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</si>
  <si>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</si>
  <si>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</si>
  <si>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</si>
  <si>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</si>
  <si>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</si>
  <si>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</si>
  <si>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</si>
  <si>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</si>
  <si>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</si>
  <si>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</si>
  <si>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</si>
  <si>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</si>
  <si>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</si>
  <si>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</si>
  <si>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</si>
  <si>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</si>
  <si>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</si>
  <si>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</si>
  <si>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</si>
  <si>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</si>
  <si>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</si>
  <si>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</si>
  <si>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</si>
  <si>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</si>
  <si>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</si>
  <si>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</si>
  <si>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</si>
  <si>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</si>
  <si>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</si>
  <si>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</si>
  <si>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</si>
  <si>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</si>
  <si>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</si>
  <si>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</si>
  <si>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</si>
  <si>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</si>
  <si>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</si>
  <si>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</si>
  <si>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</si>
  <si>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</si>
  <si>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</si>
  <si>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</si>
  <si>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</si>
  <si>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</si>
  <si>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</si>
  <si>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</si>
  <si>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</si>
  <si>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</si>
  <si>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</si>
  <si>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</si>
  <si>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</si>
  <si>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</si>
  <si>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</si>
  <si>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</si>
  <si>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</si>
  <si>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</si>
  <si>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</si>
  <si>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</si>
  <si>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</si>
  <si>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</si>
  <si>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</si>
  <si>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</si>
  <si>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</si>
  <si>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</si>
  <si>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</si>
  <si>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</si>
  <si>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</si>
  <si>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</si>
  <si>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</si>
  <si>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</si>
  <si>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</si>
  <si>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</si>
  <si>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</si>
  <si>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</si>
  <si>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</si>
  <si>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</si>
  <si>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</si>
  <si>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</si>
  <si>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</si>
  <si>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</si>
  <si>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</si>
  <si>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</si>
  <si>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</si>
  <si>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</si>
  <si>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</si>
  <si>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</si>
  <si>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</si>
  <si>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</si>
  <si>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</si>
  <si>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</si>
  <si>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</si>
  <si>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</si>
  <si>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</si>
  <si>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</si>
  <si>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</si>
  <si>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</si>
  <si>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</si>
  <si>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</si>
  <si>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</si>
  <si>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</si>
  <si>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</si>
  <si>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</si>
  <si>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</si>
  <si>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</si>
  <si>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</si>
  <si>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</si>
  <si>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</si>
  <si>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</si>
  <si>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</si>
  <si>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</si>
  <si>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</si>
  <si>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</si>
  <si>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</si>
  <si>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</si>
  <si>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</si>
  <si>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</si>
  <si>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</si>
  <si>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</si>
  <si>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</si>
  <si>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</si>
  <si>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</si>
  <si>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</si>
  <si>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</si>
  <si>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</si>
  <si>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</si>
  <si>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</si>
  <si>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</si>
  <si>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</si>
  <si>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</si>
  <si>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</si>
  <si>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</si>
  <si>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</si>
  <si>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</si>
  <si>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</si>
  <si>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</si>
  <si>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</si>
  <si>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</si>
  <si>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</si>
  <si>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</si>
  <si>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</si>
  <si>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</si>
  <si>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</si>
  <si>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</si>
  <si>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</si>
  <si>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</si>
  <si>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</si>
  <si>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</si>
  <si>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</si>
  <si>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</si>
  <si>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</si>
  <si>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</si>
  <si>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</si>
  <si>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</si>
  <si>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</si>
  <si>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</si>
  <si>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</si>
  <si>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</si>
  <si>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</si>
  <si>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</si>
  <si>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</si>
  <si>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</si>
  <si>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</si>
  <si>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</si>
  <si>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</si>
  <si>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</si>
  <si>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</si>
  <si>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</si>
  <si>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</si>
  <si>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</si>
  <si>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</si>
  <si>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</si>
  <si>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</si>
  <si>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</si>
  <si>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</si>
  <si>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</si>
  <si>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</si>
  <si>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</si>
  <si>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</si>
  <si>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</si>
  <si>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</si>
  <si>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</si>
  <si>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</si>
  <si>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</si>
  <si>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</si>
  <si>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</si>
  <si>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</si>
  <si>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</si>
  <si>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</si>
  <si>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</si>
  <si>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</si>
  <si>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</si>
  <si>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</si>
  <si>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</si>
  <si>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</si>
  <si>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</si>
  <si>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</si>
  <si>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</si>
  <si>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</si>
  <si>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</si>
  <si>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</si>
  <si>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</si>
  <si>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</si>
  <si>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</si>
  <si>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</si>
  <si>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</si>
  <si>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</si>
  <si>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</si>
  <si>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</si>
  <si>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</si>
  <si>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</si>
  <si>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</si>
  <si>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</si>
  <si>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</si>
  <si>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</si>
  <si>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</si>
  <si>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</si>
  <si>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</si>
  <si>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</si>
  <si>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</si>
  <si>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</si>
  <si>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</si>
  <si>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</si>
  <si>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</si>
  <si>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</si>
  <si>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</si>
  <si>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</si>
  <si>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</si>
  <si>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</si>
  <si>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</si>
  <si>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</si>
  <si>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</si>
  <si>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</si>
  <si>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</si>
  <si>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</si>
  <si>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</si>
  <si>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</si>
  <si>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</si>
  <si>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</si>
  <si>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</si>
  <si>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</si>
  <si>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</si>
  <si>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</si>
  <si>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</si>
  <si>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</si>
  <si>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</si>
  <si>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</si>
  <si>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</si>
  <si>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</si>
  <si>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</si>
  <si>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</si>
  <si>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</si>
  <si>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</si>
  <si>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</si>
  <si>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</si>
  <si>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</si>
  <si>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</si>
  <si>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</si>
  <si>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</si>
  <si>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</si>
  <si>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</si>
  <si>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</si>
  <si>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</si>
  <si>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</si>
  <si>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</si>
  <si>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</si>
  <si>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</si>
  <si>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</si>
  <si>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</si>
  <si>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</si>
  <si>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</si>
  <si>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</si>
  <si>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</si>
  <si>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</si>
  <si>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</si>
  <si>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</si>
  <si>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</si>
  <si>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</si>
  <si>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</si>
  <si>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</si>
  <si>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</si>
  <si>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</si>
  <si>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</si>
  <si>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</si>
  <si>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</si>
  <si>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</si>
  <si>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</si>
  <si>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</si>
  <si>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</si>
  <si>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</si>
  <si>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</si>
  <si>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</si>
  <si>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</si>
  <si>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</si>
  <si>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</si>
  <si>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</si>
  <si>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</si>
  <si>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</si>
  <si>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</si>
  <si>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</si>
  <si>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</si>
  <si>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</si>
  <si>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</si>
  <si>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</si>
  <si>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</si>
  <si>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</si>
  <si>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</si>
  <si>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</si>
  <si>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</si>
  <si>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</si>
  <si>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</si>
  <si>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</si>
  <si>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</si>
  <si>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</si>
  <si>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</si>
  <si>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</si>
  <si>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</si>
  <si>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</si>
  <si>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</si>
  <si>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</si>
  <si>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</si>
  <si>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</si>
  <si>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</si>
  <si>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</si>
  <si>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</si>
  <si>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</si>
  <si>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</si>
  <si>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</si>
  <si>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</si>
  <si>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</si>
  <si>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</si>
  <si>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</si>
  <si>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</si>
  <si>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</si>
  <si>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</si>
  <si>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</si>
  <si>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</si>
  <si>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</si>
  <si>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</si>
  <si>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</si>
  <si>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</si>
  <si>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</si>
  <si>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</si>
  <si>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</si>
  <si>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</si>
  <si>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</si>
  <si>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</si>
  <si>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</si>
  <si>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</si>
  <si>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</si>
  <si>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</si>
  <si>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</si>
  <si>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</si>
  <si>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</si>
  <si>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</si>
  <si>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</si>
  <si>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</si>
  <si>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</si>
  <si>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</si>
  <si>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</si>
  <si>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</si>
  <si>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</si>
  <si>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</si>
  <si>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</si>
  <si>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</si>
  <si>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</si>
  <si>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</si>
  <si>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</si>
  <si>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</si>
  <si>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</si>
  <si>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</si>
  <si>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</si>
  <si>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</si>
  <si>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</si>
  <si>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</si>
  <si>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</si>
  <si>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</si>
  <si>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</si>
  <si>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</si>
  <si>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</si>
  <si>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</si>
  <si>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</si>
  <si>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</si>
  <si>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</si>
  <si>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</si>
  <si>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</si>
  <si>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</si>
  <si>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</si>
  <si>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</si>
  <si>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</si>
  <si>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</si>
  <si>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</si>
  <si>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</si>
  <si>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</si>
  <si>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</si>
  <si>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</si>
  <si>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</si>
  <si>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</si>
  <si>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</si>
  <si>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</si>
  <si>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</si>
  <si>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</si>
  <si>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</si>
  <si>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</si>
  <si>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</si>
  <si>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</si>
  <si>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</si>
  <si>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</si>
  <si>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</si>
  <si>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</si>
  <si>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</si>
  <si>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</si>
  <si>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</si>
  <si>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</si>
  <si>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</si>
  <si>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</si>
  <si>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</si>
  <si>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</si>
  <si>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</si>
  <si>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</si>
  <si>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</si>
  <si>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</si>
  <si>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</si>
  <si>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</si>
  <si>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</si>
  <si>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</si>
  <si>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</si>
  <si>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</si>
  <si>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</si>
  <si>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</si>
  <si>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</si>
  <si>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</si>
  <si>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</si>
  <si>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</si>
  <si>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</si>
  <si>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</si>
  <si>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</si>
  <si>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</si>
  <si>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</si>
  <si>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</si>
  <si>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</si>
  <si>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</si>
  <si>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</si>
  <si>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</si>
  <si>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</si>
  <si>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</si>
  <si>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</si>
  <si>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</si>
  <si>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</si>
  <si>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</si>
  <si>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</si>
  <si>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</si>
  <si>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</si>
  <si>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</si>
  <si>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</si>
  <si>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</si>
  <si>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</si>
  <si>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</si>
  <si>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</si>
  <si>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</si>
  <si>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</si>
  <si>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</si>
  <si>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</si>
  <si>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</si>
  <si>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</si>
  <si>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</si>
  <si>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</si>
  <si>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</si>
  <si>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</si>
  <si>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</si>
  <si>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</si>
  <si>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</si>
  <si>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</si>
  <si>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</si>
  <si>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</si>
  <si>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</si>
  <si>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</si>
  <si>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</si>
  <si>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</si>
  <si>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</si>
  <si>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</si>
  <si>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</si>
  <si>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</si>
  <si>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</si>
  <si>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</si>
  <si>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</si>
  <si>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</si>
  <si>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</si>
  <si>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</si>
  <si>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</si>
  <si>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</si>
  <si>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</si>
  <si>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</si>
  <si>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</si>
  <si>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</si>
  <si>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</si>
  <si>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</si>
  <si>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</si>
  <si>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</si>
  <si>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</si>
  <si>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</si>
  <si>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</si>
  <si>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</si>
  <si>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</si>
  <si>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</si>
  <si>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</si>
  <si>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</si>
  <si>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</si>
  <si>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</si>
  <si>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</si>
  <si>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</si>
  <si>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</si>
  <si>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</si>
  <si>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</si>
  <si>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</si>
  <si>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</si>
  <si>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</si>
  <si>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</si>
  <si>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</si>
  <si>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</si>
  <si>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</si>
  <si>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</si>
  <si>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</si>
  <si>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</si>
  <si>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</si>
  <si>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</si>
  <si>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</si>
  <si>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</si>
  <si>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</si>
  <si>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</si>
  <si>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</si>
  <si>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</si>
  <si>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</si>
  <si>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</si>
  <si>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</si>
  <si>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</si>
  <si>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</si>
  <si>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</si>
  <si>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</si>
  <si>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</si>
  <si>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</si>
  <si>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</si>
  <si>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</si>
  <si>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</si>
  <si>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</si>
  <si>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</si>
  <si>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</si>
  <si>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</si>
  <si>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</si>
  <si>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</si>
  <si>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</si>
  <si>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</si>
  <si>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</si>
  <si>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</si>
  <si>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</si>
  <si>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</si>
  <si>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</si>
  <si>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</si>
  <si>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</si>
  <si>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</si>
  <si>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</si>
  <si>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</si>
  <si>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</si>
  <si>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</si>
  <si>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</si>
  <si>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</si>
  <si>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</si>
  <si>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</si>
  <si>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</si>
  <si>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</si>
  <si>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</si>
  <si>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</si>
  <si>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</si>
  <si>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</si>
  <si>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</si>
  <si>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</si>
  <si>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</si>
  <si>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</si>
  <si>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</si>
  <si>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</si>
  <si>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</si>
  <si>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</si>
  <si>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</si>
  <si>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</si>
  <si>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</si>
  <si>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</si>
  <si>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</si>
  <si>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</si>
  <si>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</si>
  <si>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</si>
  <si>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</si>
  <si>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</si>
  <si>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</si>
  <si>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</si>
  <si>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</si>
  <si>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</si>
  <si>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</si>
  <si>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</si>
  <si>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</si>
  <si>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</si>
  <si>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</si>
  <si>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</si>
  <si>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</si>
  <si>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</si>
  <si>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</si>
  <si>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</si>
  <si>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</si>
  <si>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</si>
  <si>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</si>
  <si>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</si>
  <si>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</si>
  <si>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</si>
  <si>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</si>
  <si>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</si>
  <si>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</si>
  <si>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</si>
  <si>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</si>
  <si>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</si>
  <si>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</si>
  <si>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</si>
  <si>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</si>
  <si>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</si>
  <si>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</si>
  <si>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</si>
  <si>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</si>
  <si>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</si>
  <si>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</si>
  <si>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</si>
  <si>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</si>
  <si>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</si>
  <si>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</si>
  <si>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</si>
  <si>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</si>
  <si>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</si>
  <si>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</si>
  <si>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</si>
  <si>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</si>
  <si>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</si>
  <si>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</si>
  <si>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</si>
  <si>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</si>
  <si>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</si>
  <si>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</si>
  <si>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</si>
  <si>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</si>
  <si>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</si>
  <si>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</si>
  <si>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</si>
  <si>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</si>
  <si>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</si>
  <si>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</si>
  <si>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</si>
  <si>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</si>
  <si>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</si>
  <si>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</si>
  <si>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</si>
  <si>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</si>
  <si>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</si>
  <si>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</si>
  <si>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</si>
  <si>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</si>
  <si>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</si>
  <si>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</si>
  <si>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</si>
  <si>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</si>
  <si>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</si>
  <si>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</si>
  <si>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</si>
  <si>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</si>
  <si>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</si>
  <si>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</si>
  <si>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</si>
  <si>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</si>
  <si>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</si>
  <si>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</si>
  <si>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</si>
  <si>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</si>
  <si>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</si>
  <si>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</si>
  <si>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</si>
  <si>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</si>
  <si>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</si>
  <si>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</si>
  <si>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</si>
  <si>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</si>
  <si>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</si>
  <si>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</si>
  <si>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</si>
  <si>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</si>
  <si>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</si>
  <si>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</si>
  <si>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</si>
  <si>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</si>
  <si>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</si>
  <si>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</si>
  <si>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</si>
  <si>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</si>
  <si>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</si>
  <si>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</si>
  <si>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</si>
  <si>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</si>
  <si>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</si>
  <si>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</si>
  <si>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</si>
  <si>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</si>
  <si>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</si>
  <si>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</si>
  <si>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</si>
  <si>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</si>
  <si>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</si>
  <si>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</si>
  <si>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</si>
  <si>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</si>
  <si>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</si>
  <si>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</si>
  <si>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</si>
  <si>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</si>
  <si>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</si>
  <si>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</si>
  <si>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</si>
  <si>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</si>
  <si>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</si>
  <si>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</si>
  <si>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</si>
  <si>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</si>
  <si>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</si>
  <si>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</si>
  <si>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</si>
  <si>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</si>
  <si>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</si>
  <si>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</si>
  <si>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</si>
  <si>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</si>
  <si>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</si>
  <si>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</si>
  <si>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</si>
  <si>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</si>
  <si>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</si>
  <si>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</si>
  <si>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</si>
  <si>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</si>
  <si>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</si>
  <si>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</si>
  <si>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</si>
  <si>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</si>
  <si>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</si>
  <si>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</si>
  <si>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</si>
  <si>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</si>
  <si>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</si>
  <si>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</si>
  <si>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</si>
  <si>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</si>
  <si>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</si>
  <si>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</si>
  <si>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</si>
  <si>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</si>
  <si>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</si>
  <si>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</si>
  <si>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</si>
  <si>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</si>
  <si>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</si>
  <si>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</si>
  <si>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</si>
  <si>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</si>
  <si>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</si>
  <si>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</si>
  <si>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</si>
  <si>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</si>
  <si>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</si>
  <si>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</si>
  <si>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</si>
  <si>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</si>
  <si>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</si>
  <si>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</si>
  <si>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</si>
  <si>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</si>
  <si>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</si>
  <si>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</si>
  <si>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</si>
  <si>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</si>
  <si>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</si>
  <si>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</si>
  <si>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</si>
  <si>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</si>
  <si>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</si>
  <si>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</si>
  <si>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</si>
  <si>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</si>
  <si>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</si>
  <si>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</si>
  <si>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</si>
  <si>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</si>
  <si>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</si>
  <si>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</si>
  <si>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</si>
  <si>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</si>
  <si>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</si>
  <si>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</si>
  <si>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</si>
  <si>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</si>
  <si>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</si>
  <si>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</si>
  <si>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</si>
  <si>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</si>
  <si>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</si>
  <si>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</si>
  <si>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</si>
  <si>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</si>
  <si>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</si>
  <si>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</si>
  <si>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</si>
  <si>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</si>
  <si>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</si>
  <si>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</si>
  <si>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</si>
  <si>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</si>
  <si>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</si>
  <si>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</si>
  <si>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</si>
  <si>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</si>
  <si>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</si>
  <si>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</si>
  <si>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</si>
  <si>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</si>
  <si>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</si>
  <si>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</si>
  <si>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</si>
  <si>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</si>
  <si>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</si>
  <si>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</si>
  <si>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</si>
  <si>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</si>
  <si>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</si>
  <si>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</si>
  <si>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</si>
  <si>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</si>
  <si>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</si>
  <si>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</si>
  <si>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</si>
  <si>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</si>
  <si>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</si>
  <si>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</si>
  <si>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</si>
  <si>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</si>
  <si>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</si>
  <si>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</si>
  <si>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</si>
  <si>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</si>
  <si>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</si>
  <si>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</si>
  <si>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</si>
  <si>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46020</t>
  </si>
  <si>
    <t>SINT-GILLIS-WAAS</t>
  </si>
  <si>
    <t>Paarden&amp;pony's 200 - 600 kg</t>
  </si>
  <si>
    <t>Paarden&amp;pony's &lt; 200 kg</t>
  </si>
  <si>
    <t>Fluvius</t>
  </si>
  <si>
    <t>referentietaak LNE (2017); Jaarverslag De Lijn</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</si>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</sst>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46020</v>
      </c>
      <c r="B6" s="386"/>
      <c r="C6" s="387"/>
    </row>
    <row r="7" spans="1:7" s="384" customFormat="1" ht="15.75" customHeight="1">
      <c r="A7" s="388" t="str">
        <f>txtMunicipality</f>
        <v>SINT-GILLIS-WAAS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14617.51906810826</v>
      </c>
      <c r="D10" s="676">
        <f ca="1">tertiair!C16</f>
        <v>0</v>
      </c>
      <c r="E10" s="676">
        <f ca="1">tertiair!D16</f>
        <v>20864.137549290645</v>
      </c>
      <c r="F10" s="676">
        <f>tertiair!E16</f>
        <v>118.32588347541532</v>
      </c>
      <c r="G10" s="676">
        <f ca="1">tertiair!F16</f>
        <v>2608.8844953841653</v>
      </c>
      <c r="H10" s="676">
        <f>tertiair!G16</f>
        <v>0</v>
      </c>
      <c r="I10" s="676">
        <f>tertiair!H16</f>
        <v>0</v>
      </c>
      <c r="J10" s="676">
        <f>tertiair!I16</f>
        <v>0</v>
      </c>
      <c r="K10" s="676">
        <f>tertiair!J16</f>
        <v>0</v>
      </c>
      <c r="L10" s="676">
        <f>tertiair!K16</f>
        <v>0</v>
      </c>
      <c r="M10" s="676">
        <f ca="1">tertiair!L16</f>
        <v>0</v>
      </c>
      <c r="N10" s="676">
        <f>tertiair!M16</f>
        <v>0</v>
      </c>
      <c r="O10" s="676">
        <f ca="1">tertiair!N16</f>
        <v>1072.4939163829029</v>
      </c>
      <c r="P10" s="676">
        <f>tertiair!O16</f>
        <v>0</v>
      </c>
      <c r="Q10" s="677">
        <f>tertiair!P16</f>
        <v>0</v>
      </c>
      <c r="R10" s="679">
        <f ca="1">SUM(C10:Q10)</f>
        <v>39281.360912641387</v>
      </c>
      <c r="S10" s="68"/>
    </row>
    <row r="11" spans="1:19" s="445" customFormat="1">
      <c r="A11" s="791" t="s">
        <v>220</v>
      </c>
      <c r="B11" s="796"/>
      <c r="C11" s="676">
        <f>huishoudens!B8</f>
        <v>36272.279359281696</v>
      </c>
      <c r="D11" s="676">
        <f>huishoudens!C8</f>
        <v>0</v>
      </c>
      <c r="E11" s="676">
        <f>huishoudens!D8</f>
        <v>87340.967163239286</v>
      </c>
      <c r="F11" s="676">
        <f>huishoudens!E8</f>
        <v>1268.263776822356</v>
      </c>
      <c r="G11" s="676">
        <f>huishoudens!F8</f>
        <v>38665.680410338922</v>
      </c>
      <c r="H11" s="676">
        <f>huishoudens!G8</f>
        <v>0</v>
      </c>
      <c r="I11" s="676">
        <f>huishoudens!H8</f>
        <v>0</v>
      </c>
      <c r="J11" s="676">
        <f>huishoudens!I8</f>
        <v>0</v>
      </c>
      <c r="K11" s="676">
        <f>huishoudens!J8</f>
        <v>701.57529815034366</v>
      </c>
      <c r="L11" s="676">
        <f>huishoudens!K8</f>
        <v>0</v>
      </c>
      <c r="M11" s="676">
        <f>huishoudens!L8</f>
        <v>0</v>
      </c>
      <c r="N11" s="676">
        <f>huishoudens!M8</f>
        <v>0</v>
      </c>
      <c r="O11" s="676">
        <f>huishoudens!N8</f>
        <v>10409.239759889706</v>
      </c>
      <c r="P11" s="676">
        <f>huishoudens!O8</f>
        <v>106.30666666666667</v>
      </c>
      <c r="Q11" s="677">
        <f>huishoudens!P8</f>
        <v>400.4</v>
      </c>
      <c r="R11" s="679">
        <f>SUM(C11:Q11)</f>
        <v>175164.71243438896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7470.7130105623928</v>
      </c>
      <c r="D13" s="676">
        <f>industrie!C18</f>
        <v>0</v>
      </c>
      <c r="E13" s="676">
        <f>industrie!D18</f>
        <v>7062.3555100597041</v>
      </c>
      <c r="F13" s="676">
        <f>industrie!E18</f>
        <v>59.329833259233823</v>
      </c>
      <c r="G13" s="676">
        <f>industrie!F18</f>
        <v>3049.3512925303166</v>
      </c>
      <c r="H13" s="676">
        <f>industrie!G18</f>
        <v>0</v>
      </c>
      <c r="I13" s="676">
        <f>industrie!H18</f>
        <v>0</v>
      </c>
      <c r="J13" s="676">
        <f>industrie!I18</f>
        <v>0</v>
      </c>
      <c r="K13" s="676">
        <f>industrie!J18</f>
        <v>19.084592858091348</v>
      </c>
      <c r="L13" s="676">
        <f>industrie!K18</f>
        <v>0</v>
      </c>
      <c r="M13" s="676">
        <f>industrie!L18</f>
        <v>0</v>
      </c>
      <c r="N13" s="676">
        <f>industrie!M18</f>
        <v>0</v>
      </c>
      <c r="O13" s="676">
        <f>industrie!N18</f>
        <v>316.72667436846393</v>
      </c>
      <c r="P13" s="676">
        <f>industrie!O18</f>
        <v>0</v>
      </c>
      <c r="Q13" s="677">
        <f>industrie!P18</f>
        <v>0</v>
      </c>
      <c r="R13" s="679">
        <f>SUM(C13:Q13)</f>
        <v>17977.560913638205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58360.511437952351</v>
      </c>
      <c r="D16" s="709">
        <f t="shared" ref="D16:R16" ca="1" si="0">SUM(D9:D15)</f>
        <v>0</v>
      </c>
      <c r="E16" s="709">
        <f t="shared" ca="1" si="0"/>
        <v>115267.46022258962</v>
      </c>
      <c r="F16" s="709">
        <f t="shared" si="0"/>
        <v>1445.9194935570051</v>
      </c>
      <c r="G16" s="709">
        <f t="shared" ca="1" si="0"/>
        <v>44323.916198253406</v>
      </c>
      <c r="H16" s="709">
        <f t="shared" si="0"/>
        <v>0</v>
      </c>
      <c r="I16" s="709">
        <f t="shared" si="0"/>
        <v>0</v>
      </c>
      <c r="J16" s="709">
        <f t="shared" si="0"/>
        <v>0</v>
      </c>
      <c r="K16" s="709">
        <f t="shared" si="0"/>
        <v>720.65989100843501</v>
      </c>
      <c r="L16" s="709">
        <f t="shared" si="0"/>
        <v>0</v>
      </c>
      <c r="M16" s="709">
        <f t="shared" ca="1" si="0"/>
        <v>0</v>
      </c>
      <c r="N16" s="709">
        <f t="shared" si="0"/>
        <v>0</v>
      </c>
      <c r="O16" s="709">
        <f t="shared" ca="1" si="0"/>
        <v>11798.460350641071</v>
      </c>
      <c r="P16" s="709">
        <f t="shared" si="0"/>
        <v>106.30666666666667</v>
      </c>
      <c r="Q16" s="709">
        <f t="shared" si="0"/>
        <v>400.4</v>
      </c>
      <c r="R16" s="709">
        <f t="shared" ca="1" si="0"/>
        <v>232423.63426066856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9.8497998562042302</v>
      </c>
      <c r="D19" s="676">
        <f>transport!C54</f>
        <v>0</v>
      </c>
      <c r="E19" s="676">
        <f>transport!D54</f>
        <v>0</v>
      </c>
      <c r="F19" s="676">
        <f>transport!E54</f>
        <v>0</v>
      </c>
      <c r="G19" s="676">
        <f>transport!F54</f>
        <v>0</v>
      </c>
      <c r="H19" s="676">
        <f>transport!G54</f>
        <v>1964.5620008440144</v>
      </c>
      <c r="I19" s="676">
        <f>transport!H54</f>
        <v>0</v>
      </c>
      <c r="J19" s="676">
        <f>transport!I54</f>
        <v>0</v>
      </c>
      <c r="K19" s="676">
        <f>transport!J54</f>
        <v>0</v>
      </c>
      <c r="L19" s="676">
        <f>transport!K54</f>
        <v>0</v>
      </c>
      <c r="M19" s="676">
        <f>transport!L54</f>
        <v>0</v>
      </c>
      <c r="N19" s="676">
        <f>transport!M54</f>
        <v>86.831548061321939</v>
      </c>
      <c r="O19" s="676">
        <f>transport!N54</f>
        <v>0</v>
      </c>
      <c r="P19" s="676">
        <f>transport!O54</f>
        <v>0</v>
      </c>
      <c r="Q19" s="677">
        <f>transport!P54</f>
        <v>0</v>
      </c>
      <c r="R19" s="679">
        <f>SUM(C19:Q19)</f>
        <v>2061.2433487615408</v>
      </c>
      <c r="S19" s="68"/>
    </row>
    <row r="20" spans="1:19" s="445" customFormat="1">
      <c r="A20" s="791" t="s">
        <v>302</v>
      </c>
      <c r="B20" s="796"/>
      <c r="C20" s="676">
        <f>transport!B14</f>
        <v>6.8508293376955347</v>
      </c>
      <c r="D20" s="676">
        <f>transport!C14</f>
        <v>0</v>
      </c>
      <c r="E20" s="676">
        <f>transport!D14</f>
        <v>8.9897177106369988</v>
      </c>
      <c r="F20" s="676">
        <f>transport!E14</f>
        <v>621.02137386227889</v>
      </c>
      <c r="G20" s="676">
        <f>transport!F14</f>
        <v>0</v>
      </c>
      <c r="H20" s="676">
        <f>transport!G14</f>
        <v>159497.5414714682</v>
      </c>
      <c r="I20" s="676">
        <f>transport!H14</f>
        <v>21901.043159041346</v>
      </c>
      <c r="J20" s="676">
        <f>transport!I14</f>
        <v>0</v>
      </c>
      <c r="K20" s="676">
        <f>transport!J14</f>
        <v>0</v>
      </c>
      <c r="L20" s="676">
        <f>transport!K14</f>
        <v>0</v>
      </c>
      <c r="M20" s="676">
        <f>transport!L14</f>
        <v>0</v>
      </c>
      <c r="N20" s="676">
        <f>transport!M14</f>
        <v>8100.1303576275068</v>
      </c>
      <c r="O20" s="676">
        <f>transport!N14</f>
        <v>0</v>
      </c>
      <c r="P20" s="676">
        <f>transport!O14</f>
        <v>0</v>
      </c>
      <c r="Q20" s="677">
        <f>transport!P14</f>
        <v>0</v>
      </c>
      <c r="R20" s="679">
        <f>SUM(C20:Q20)</f>
        <v>190135.57690904767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16.700629193899765</v>
      </c>
      <c r="D22" s="794">
        <f t="shared" ref="D22:R22" si="1">SUM(D18:D21)</f>
        <v>0</v>
      </c>
      <c r="E22" s="794">
        <f t="shared" si="1"/>
        <v>8.9897177106369988</v>
      </c>
      <c r="F22" s="794">
        <f t="shared" si="1"/>
        <v>621.02137386227889</v>
      </c>
      <c r="G22" s="794">
        <f t="shared" si="1"/>
        <v>0</v>
      </c>
      <c r="H22" s="794">
        <f t="shared" si="1"/>
        <v>161462.10347231221</v>
      </c>
      <c r="I22" s="794">
        <f t="shared" si="1"/>
        <v>21901.043159041346</v>
      </c>
      <c r="J22" s="794">
        <f t="shared" si="1"/>
        <v>0</v>
      </c>
      <c r="K22" s="794">
        <f t="shared" si="1"/>
        <v>0</v>
      </c>
      <c r="L22" s="794">
        <f t="shared" si="1"/>
        <v>0</v>
      </c>
      <c r="M22" s="794">
        <f t="shared" si="1"/>
        <v>0</v>
      </c>
      <c r="N22" s="794">
        <f t="shared" si="1"/>
        <v>8186.9619056888287</v>
      </c>
      <c r="O22" s="794">
        <f t="shared" si="1"/>
        <v>0</v>
      </c>
      <c r="P22" s="794">
        <f t="shared" si="1"/>
        <v>0</v>
      </c>
      <c r="Q22" s="794">
        <f t="shared" si="1"/>
        <v>0</v>
      </c>
      <c r="R22" s="794">
        <f t="shared" si="1"/>
        <v>192196.82025780922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4388.1187240548452</v>
      </c>
      <c r="D24" s="676">
        <f>+landbouw!C8</f>
        <v>43200</v>
      </c>
      <c r="E24" s="676">
        <f>+landbouw!D8</f>
        <v>0</v>
      </c>
      <c r="F24" s="676">
        <f>+landbouw!E8</f>
        <v>41.339018516587331</v>
      </c>
      <c r="G24" s="676">
        <f>+landbouw!F8</f>
        <v>14319.887685299449</v>
      </c>
      <c r="H24" s="676">
        <f>+landbouw!G8</f>
        <v>0</v>
      </c>
      <c r="I24" s="676">
        <f>+landbouw!H8</f>
        <v>0</v>
      </c>
      <c r="J24" s="676">
        <f>+landbouw!I8</f>
        <v>0</v>
      </c>
      <c r="K24" s="676">
        <f>+landbouw!J8</f>
        <v>542.83162997095826</v>
      </c>
      <c r="L24" s="676">
        <f>+landbouw!K8</f>
        <v>0</v>
      </c>
      <c r="M24" s="676">
        <f>+landbouw!L8</f>
        <v>0</v>
      </c>
      <c r="N24" s="676">
        <f>+landbouw!M8</f>
        <v>0</v>
      </c>
      <c r="O24" s="676">
        <f>+landbouw!N8</f>
        <v>0</v>
      </c>
      <c r="P24" s="676">
        <f>+landbouw!O8</f>
        <v>0</v>
      </c>
      <c r="Q24" s="677">
        <f>+landbouw!P8</f>
        <v>0</v>
      </c>
      <c r="R24" s="679">
        <f>SUM(C24:Q24)</f>
        <v>62492.177057841836</v>
      </c>
      <c r="S24" s="68"/>
    </row>
    <row r="25" spans="1:19" s="445" customFormat="1" ht="15" thickBot="1">
      <c r="A25" s="813" t="s">
        <v>879</v>
      </c>
      <c r="B25" s="979"/>
      <c r="C25" s="980">
        <f>IF(Onbekend_ele_kWh="---",0,Onbekend_ele_kWh)/1000+IF(REST_rest_ele_kWh="---",0,REST_rest_ele_kWh)/1000</f>
        <v>945.75079828457694</v>
      </c>
      <c r="D25" s="980"/>
      <c r="E25" s="980">
        <f>IF(onbekend_gas_kWh="---",0,onbekend_gas_kWh)/1000+IF(REST_rest_gas_kWh="---",0,REST_rest_gas_kWh)/1000</f>
        <v>2466.7936571411901</v>
      </c>
      <c r="F25" s="980"/>
      <c r="G25" s="980"/>
      <c r="H25" s="980"/>
      <c r="I25" s="980"/>
      <c r="J25" s="980"/>
      <c r="K25" s="980"/>
      <c r="L25" s="980"/>
      <c r="M25" s="980"/>
      <c r="N25" s="980"/>
      <c r="O25" s="980"/>
      <c r="P25" s="980"/>
      <c r="Q25" s="981"/>
      <c r="R25" s="679">
        <f>SUM(C25:Q25)</f>
        <v>3412.544455425767</v>
      </c>
      <c r="S25" s="68"/>
    </row>
    <row r="26" spans="1:19" s="445" customFormat="1" ht="15.75" thickBot="1">
      <c r="A26" s="682" t="s">
        <v>880</v>
      </c>
      <c r="B26" s="799"/>
      <c r="C26" s="794">
        <f>SUM(C24:C25)</f>
        <v>5333.8695223394225</v>
      </c>
      <c r="D26" s="794">
        <f t="shared" ref="D26:R26" si="2">SUM(D24:D25)</f>
        <v>43200</v>
      </c>
      <c r="E26" s="794">
        <f t="shared" si="2"/>
        <v>2466.7936571411901</v>
      </c>
      <c r="F26" s="794">
        <f t="shared" si="2"/>
        <v>41.339018516587331</v>
      </c>
      <c r="G26" s="794">
        <f t="shared" si="2"/>
        <v>14319.887685299449</v>
      </c>
      <c r="H26" s="794">
        <f t="shared" si="2"/>
        <v>0</v>
      </c>
      <c r="I26" s="794">
        <f t="shared" si="2"/>
        <v>0</v>
      </c>
      <c r="J26" s="794">
        <f t="shared" si="2"/>
        <v>0</v>
      </c>
      <c r="K26" s="794">
        <f t="shared" si="2"/>
        <v>542.83162997095826</v>
      </c>
      <c r="L26" s="794">
        <f t="shared" si="2"/>
        <v>0</v>
      </c>
      <c r="M26" s="794">
        <f t="shared" si="2"/>
        <v>0</v>
      </c>
      <c r="N26" s="794">
        <f t="shared" si="2"/>
        <v>0</v>
      </c>
      <c r="O26" s="794">
        <f t="shared" si="2"/>
        <v>0</v>
      </c>
      <c r="P26" s="794">
        <f t="shared" si="2"/>
        <v>0</v>
      </c>
      <c r="Q26" s="794">
        <f t="shared" si="2"/>
        <v>0</v>
      </c>
      <c r="R26" s="794">
        <f t="shared" si="2"/>
        <v>65904.721513267606</v>
      </c>
      <c r="S26" s="68"/>
    </row>
    <row r="27" spans="1:19" s="445" customFormat="1" ht="17.25" thickTop="1" thickBot="1">
      <c r="A27" s="683" t="s">
        <v>115</v>
      </c>
      <c r="B27" s="786"/>
      <c r="C27" s="684">
        <f ca="1">C22+C16+C26</f>
        <v>63711.081589485679</v>
      </c>
      <c r="D27" s="684">
        <f t="shared" ref="D27:R27" ca="1" si="3">D22+D16+D26</f>
        <v>43200</v>
      </c>
      <c r="E27" s="684">
        <f t="shared" ca="1" si="3"/>
        <v>117743.24359744144</v>
      </c>
      <c r="F27" s="684">
        <f t="shared" si="3"/>
        <v>2108.2798859358713</v>
      </c>
      <c r="G27" s="684">
        <f t="shared" ca="1" si="3"/>
        <v>58643.803883552857</v>
      </c>
      <c r="H27" s="684">
        <f t="shared" si="3"/>
        <v>161462.10347231221</v>
      </c>
      <c r="I27" s="684">
        <f t="shared" si="3"/>
        <v>21901.043159041346</v>
      </c>
      <c r="J27" s="684">
        <f t="shared" si="3"/>
        <v>0</v>
      </c>
      <c r="K27" s="684">
        <f t="shared" si="3"/>
        <v>1263.4915209793933</v>
      </c>
      <c r="L27" s="684">
        <f t="shared" si="3"/>
        <v>0</v>
      </c>
      <c r="M27" s="684">
        <f t="shared" ca="1" si="3"/>
        <v>0</v>
      </c>
      <c r="N27" s="684">
        <f t="shared" si="3"/>
        <v>8186.9619056888287</v>
      </c>
      <c r="O27" s="684">
        <f t="shared" ca="1" si="3"/>
        <v>11798.460350641071</v>
      </c>
      <c r="P27" s="684">
        <f t="shared" si="3"/>
        <v>106.30666666666667</v>
      </c>
      <c r="Q27" s="684">
        <f t="shared" si="3"/>
        <v>400.4</v>
      </c>
      <c r="R27" s="684">
        <f t="shared" ca="1" si="3"/>
        <v>490525.17603174539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2863.5142071262517</v>
      </c>
      <c r="D40" s="676">
        <f ca="1">tertiair!C20</f>
        <v>0</v>
      </c>
      <c r="E40" s="676">
        <f ca="1">tertiair!D20</f>
        <v>4214.5557849567103</v>
      </c>
      <c r="F40" s="676">
        <f>tertiair!E20</f>
        <v>26.85997554891928</v>
      </c>
      <c r="G40" s="676">
        <f ca="1">tertiair!F20</f>
        <v>696.57216026757214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7801.5021278994536</v>
      </c>
    </row>
    <row r="41" spans="1:18">
      <c r="A41" s="804" t="s">
        <v>220</v>
      </c>
      <c r="B41" s="811"/>
      <c r="C41" s="676">
        <f ca="1">huishoudens!B12</f>
        <v>7105.596153916792</v>
      </c>
      <c r="D41" s="676">
        <f ca="1">huishoudens!C12</f>
        <v>0</v>
      </c>
      <c r="E41" s="676">
        <f>huishoudens!D12</f>
        <v>17642.875366974338</v>
      </c>
      <c r="F41" s="676">
        <f>huishoudens!E12</f>
        <v>287.89587733867484</v>
      </c>
      <c r="G41" s="676">
        <f>huishoudens!F12</f>
        <v>10323.736669560492</v>
      </c>
      <c r="H41" s="676">
        <f>huishoudens!G12</f>
        <v>0</v>
      </c>
      <c r="I41" s="676">
        <f>huishoudens!H12</f>
        <v>0</v>
      </c>
      <c r="J41" s="676">
        <f>huishoudens!I12</f>
        <v>0</v>
      </c>
      <c r="K41" s="676">
        <f>huishoudens!J12</f>
        <v>248.35765554522163</v>
      </c>
      <c r="L41" s="676">
        <f>huishoudens!K12</f>
        <v>0</v>
      </c>
      <c r="M41" s="676">
        <f>huishoudens!L12</f>
        <v>0</v>
      </c>
      <c r="N41" s="676">
        <f>huishoudens!M12</f>
        <v>0</v>
      </c>
      <c r="O41" s="676">
        <f>huishoudens!N12</f>
        <v>0</v>
      </c>
      <c r="P41" s="676">
        <f>huishoudens!O12</f>
        <v>0</v>
      </c>
      <c r="Q41" s="751">
        <f>huishoudens!P12</f>
        <v>0</v>
      </c>
      <c r="R41" s="832">
        <f t="shared" ca="1" si="4"/>
        <v>35608.461723335524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1463.4831494614818</v>
      </c>
      <c r="D43" s="676">
        <f ca="1">industrie!C22</f>
        <v>0</v>
      </c>
      <c r="E43" s="676">
        <f>industrie!D22</f>
        <v>1426.5958130320603</v>
      </c>
      <c r="F43" s="676">
        <f>industrie!E22</f>
        <v>13.467872149846078</v>
      </c>
      <c r="G43" s="676">
        <f>industrie!F22</f>
        <v>814.17679510559458</v>
      </c>
      <c r="H43" s="676">
        <f>industrie!G22</f>
        <v>0</v>
      </c>
      <c r="I43" s="676">
        <f>industrie!H22</f>
        <v>0</v>
      </c>
      <c r="J43" s="676">
        <f>industrie!I22</f>
        <v>0</v>
      </c>
      <c r="K43" s="676">
        <f>industrie!J22</f>
        <v>6.7559458717643368</v>
      </c>
      <c r="L43" s="676">
        <f>industrie!K22</f>
        <v>0</v>
      </c>
      <c r="M43" s="676">
        <f>industrie!L22</f>
        <v>0</v>
      </c>
      <c r="N43" s="676">
        <f>industrie!M22</f>
        <v>0</v>
      </c>
      <c r="O43" s="676">
        <f>industrie!N22</f>
        <v>0</v>
      </c>
      <c r="P43" s="676">
        <f>industrie!O22</f>
        <v>0</v>
      </c>
      <c r="Q43" s="751">
        <f>industrie!P22</f>
        <v>0</v>
      </c>
      <c r="R43" s="831">
        <f t="shared" ca="1" si="4"/>
        <v>3724.4795756207473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11432.593510504525</v>
      </c>
      <c r="D46" s="709">
        <f t="shared" ref="D46:Q46" ca="1" si="5">SUM(D39:D45)</f>
        <v>0</v>
      </c>
      <c r="E46" s="709">
        <f t="shared" ca="1" si="5"/>
        <v>23284.026964963112</v>
      </c>
      <c r="F46" s="709">
        <f t="shared" si="5"/>
        <v>328.2237250374402</v>
      </c>
      <c r="G46" s="709">
        <f t="shared" ca="1" si="5"/>
        <v>11834.485624933659</v>
      </c>
      <c r="H46" s="709">
        <f t="shared" si="5"/>
        <v>0</v>
      </c>
      <c r="I46" s="709">
        <f t="shared" si="5"/>
        <v>0</v>
      </c>
      <c r="J46" s="709">
        <f t="shared" si="5"/>
        <v>0</v>
      </c>
      <c r="K46" s="709">
        <f t="shared" si="5"/>
        <v>255.11360141698597</v>
      </c>
      <c r="L46" s="709">
        <f t="shared" si="5"/>
        <v>0</v>
      </c>
      <c r="M46" s="709">
        <f t="shared" ca="1" si="5"/>
        <v>0</v>
      </c>
      <c r="N46" s="709">
        <f t="shared" si="5"/>
        <v>0</v>
      </c>
      <c r="O46" s="709">
        <f t="shared" ca="1" si="5"/>
        <v>0</v>
      </c>
      <c r="P46" s="709">
        <f t="shared" si="5"/>
        <v>0</v>
      </c>
      <c r="Q46" s="709">
        <f t="shared" si="5"/>
        <v>0</v>
      </c>
      <c r="R46" s="709">
        <f ca="1">SUM(R39:R45)</f>
        <v>47134.443426855723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1.9295368587633457</v>
      </c>
      <c r="D49" s="676">
        <f ca="1">transport!C58</f>
        <v>0</v>
      </c>
      <c r="E49" s="676">
        <f>transport!D58</f>
        <v>0</v>
      </c>
      <c r="F49" s="676">
        <f>transport!E58</f>
        <v>0</v>
      </c>
      <c r="G49" s="676">
        <f>transport!F58</f>
        <v>0</v>
      </c>
      <c r="H49" s="676">
        <f>transport!G58</f>
        <v>524.53805422535186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526.46759108411516</v>
      </c>
    </row>
    <row r="50" spans="1:18">
      <c r="A50" s="807" t="s">
        <v>302</v>
      </c>
      <c r="B50" s="817"/>
      <c r="C50" s="986">
        <f ca="1">transport!B18</f>
        <v>1.3420503881461534</v>
      </c>
      <c r="D50" s="986">
        <f>transport!C18</f>
        <v>0</v>
      </c>
      <c r="E50" s="986">
        <f>transport!D18</f>
        <v>1.8159229775486738</v>
      </c>
      <c r="F50" s="986">
        <f>transport!E18</f>
        <v>140.97185186673732</v>
      </c>
      <c r="G50" s="986">
        <f>transport!F18</f>
        <v>0</v>
      </c>
      <c r="H50" s="986">
        <f>transport!G18</f>
        <v>42585.843572882011</v>
      </c>
      <c r="I50" s="986">
        <f>transport!H18</f>
        <v>5453.3597466012952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48183.33314471574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3.2715872469094993</v>
      </c>
      <c r="D52" s="709">
        <f t="shared" ref="D52:Q52" ca="1" si="6">SUM(D48:D51)</f>
        <v>0</v>
      </c>
      <c r="E52" s="709">
        <f t="shared" si="6"/>
        <v>1.8159229775486738</v>
      </c>
      <c r="F52" s="709">
        <f t="shared" si="6"/>
        <v>140.97185186673732</v>
      </c>
      <c r="G52" s="709">
        <f t="shared" si="6"/>
        <v>0</v>
      </c>
      <c r="H52" s="709">
        <f t="shared" si="6"/>
        <v>43110.381627107367</v>
      </c>
      <c r="I52" s="709">
        <f t="shared" si="6"/>
        <v>5453.3597466012952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48709.800735799858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859.61511323097159</v>
      </c>
      <c r="D54" s="986">
        <f ca="1">+landbouw!C12</f>
        <v>10266.352941176472</v>
      </c>
      <c r="E54" s="986">
        <f>+landbouw!D12</f>
        <v>0</v>
      </c>
      <c r="F54" s="986">
        <f>+landbouw!E12</f>
        <v>9.3839572032653251</v>
      </c>
      <c r="G54" s="986">
        <f>+landbouw!F12</f>
        <v>3823.4100119749532</v>
      </c>
      <c r="H54" s="986">
        <f>+landbouw!G12</f>
        <v>0</v>
      </c>
      <c r="I54" s="986">
        <f>+landbouw!H12</f>
        <v>0</v>
      </c>
      <c r="J54" s="986">
        <f>+landbouw!I12</f>
        <v>0</v>
      </c>
      <c r="K54" s="986">
        <f>+landbouw!J12</f>
        <v>192.1623970097192</v>
      </c>
      <c r="L54" s="986">
        <f>+landbouw!K12</f>
        <v>0</v>
      </c>
      <c r="M54" s="986">
        <f>+landbouw!L12</f>
        <v>0</v>
      </c>
      <c r="N54" s="986">
        <f>+landbouw!M12</f>
        <v>0</v>
      </c>
      <c r="O54" s="986">
        <f>+landbouw!N12</f>
        <v>0</v>
      </c>
      <c r="P54" s="986">
        <f>+landbouw!O12</f>
        <v>0</v>
      </c>
      <c r="Q54" s="987">
        <f>+landbouw!P12</f>
        <v>0</v>
      </c>
      <c r="R54" s="708">
        <f ca="1">SUM(C54:Q54)</f>
        <v>15150.92442059538</v>
      </c>
    </row>
    <row r="55" spans="1:18" ht="15" thickBot="1">
      <c r="A55" s="807" t="s">
        <v>879</v>
      </c>
      <c r="B55" s="817"/>
      <c r="C55" s="986">
        <f ca="1">C25*'EF ele_warmte'!B12</f>
        <v>185.26884313750787</v>
      </c>
      <c r="D55" s="986"/>
      <c r="E55" s="986">
        <f>E25*EF_CO2_aardgas</f>
        <v>498.29231874252042</v>
      </c>
      <c r="F55" s="986"/>
      <c r="G55" s="986"/>
      <c r="H55" s="986"/>
      <c r="I55" s="986"/>
      <c r="J55" s="986"/>
      <c r="K55" s="986"/>
      <c r="L55" s="986"/>
      <c r="M55" s="986"/>
      <c r="N55" s="986"/>
      <c r="O55" s="986"/>
      <c r="P55" s="986"/>
      <c r="Q55" s="987"/>
      <c r="R55" s="708">
        <f ca="1">SUM(C55:Q55)</f>
        <v>683.56116188002829</v>
      </c>
    </row>
    <row r="56" spans="1:18" ht="15.75" thickBot="1">
      <c r="A56" s="805" t="s">
        <v>880</v>
      </c>
      <c r="B56" s="818"/>
      <c r="C56" s="709">
        <f ca="1">SUM(C54:C55)</f>
        <v>1044.8839563684794</v>
      </c>
      <c r="D56" s="709">
        <f t="shared" ref="D56:Q56" ca="1" si="7">SUM(D54:D55)</f>
        <v>10266.352941176472</v>
      </c>
      <c r="E56" s="709">
        <f t="shared" si="7"/>
        <v>498.29231874252042</v>
      </c>
      <c r="F56" s="709">
        <f t="shared" si="7"/>
        <v>9.3839572032653251</v>
      </c>
      <c r="G56" s="709">
        <f t="shared" si="7"/>
        <v>3823.4100119749532</v>
      </c>
      <c r="H56" s="709">
        <f t="shared" si="7"/>
        <v>0</v>
      </c>
      <c r="I56" s="709">
        <f t="shared" si="7"/>
        <v>0</v>
      </c>
      <c r="J56" s="709">
        <f t="shared" si="7"/>
        <v>0</v>
      </c>
      <c r="K56" s="709">
        <f t="shared" si="7"/>
        <v>192.1623970097192</v>
      </c>
      <c r="L56" s="709">
        <f t="shared" si="7"/>
        <v>0</v>
      </c>
      <c r="M56" s="709">
        <f t="shared" si="7"/>
        <v>0</v>
      </c>
      <c r="N56" s="709">
        <f t="shared" si="7"/>
        <v>0</v>
      </c>
      <c r="O56" s="709">
        <f t="shared" si="7"/>
        <v>0</v>
      </c>
      <c r="P56" s="709">
        <f t="shared" si="7"/>
        <v>0</v>
      </c>
      <c r="Q56" s="710">
        <f t="shared" si="7"/>
        <v>0</v>
      </c>
      <c r="R56" s="711">
        <f ca="1">SUM(R54:R55)</f>
        <v>15834.485582475409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12480.749054119913</v>
      </c>
      <c r="D61" s="717">
        <f t="shared" ref="D61:Q61" ca="1" si="8">D46+D52+D56</f>
        <v>10266.352941176472</v>
      </c>
      <c r="E61" s="717">
        <f t="shared" ca="1" si="8"/>
        <v>23784.135206683182</v>
      </c>
      <c r="F61" s="717">
        <f t="shared" si="8"/>
        <v>478.57953410744284</v>
      </c>
      <c r="G61" s="717">
        <f t="shared" ca="1" si="8"/>
        <v>15657.895636908612</v>
      </c>
      <c r="H61" s="717">
        <f t="shared" si="8"/>
        <v>43110.381627107367</v>
      </c>
      <c r="I61" s="717">
        <f t="shared" si="8"/>
        <v>5453.3597466012952</v>
      </c>
      <c r="J61" s="717">
        <f t="shared" si="8"/>
        <v>0</v>
      </c>
      <c r="K61" s="717">
        <f t="shared" si="8"/>
        <v>447.2759984267052</v>
      </c>
      <c r="L61" s="717">
        <f t="shared" si="8"/>
        <v>0</v>
      </c>
      <c r="M61" s="717">
        <f t="shared" ca="1" si="8"/>
        <v>0</v>
      </c>
      <c r="N61" s="717">
        <f t="shared" si="8"/>
        <v>0</v>
      </c>
      <c r="O61" s="717">
        <f t="shared" ca="1" si="8"/>
        <v>0</v>
      </c>
      <c r="P61" s="717">
        <f t="shared" si="8"/>
        <v>0</v>
      </c>
      <c r="Q61" s="717">
        <f t="shared" si="8"/>
        <v>0</v>
      </c>
      <c r="R61" s="717">
        <f ca="1">R46+R52+R56</f>
        <v>111678.72974513099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0.19589604732404398</v>
      </c>
      <c r="D63" s="761">
        <f t="shared" ca="1" si="9"/>
        <v>0.23764705882352943</v>
      </c>
      <c r="E63" s="988">
        <f t="shared" ca="1" si="9"/>
        <v>0.2020000000000001</v>
      </c>
      <c r="F63" s="761">
        <f t="shared" si="9"/>
        <v>0.22700000000000004</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3393.7085912764041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6121.2553724337704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30240</v>
      </c>
      <c r="D76" s="998">
        <f>'lokale energieproductie'!C8</f>
        <v>35576.470588235294</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7186.4470588235299</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9514.9639637101754</v>
      </c>
      <c r="C78" s="732">
        <f>SUM(C72:C77)</f>
        <v>30240</v>
      </c>
      <c r="D78" s="733">
        <f t="shared" ref="D78:H78" si="10">SUM(D76:D77)</f>
        <v>35576.470588235294</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7186.4470588235299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43200</v>
      </c>
      <c r="D87" s="754">
        <f>'lokale energieproductie'!C17</f>
        <v>50823.529411764706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10266.352941176472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43200</v>
      </c>
      <c r="D90" s="732">
        <f t="shared" ref="D90:H90" si="12">SUM(D87:D89)</f>
        <v>50823.529411764706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10266.352941176472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36272.279359281696</v>
      </c>
      <c r="C4" s="449">
        <f>huishoudens!C8</f>
        <v>0</v>
      </c>
      <c r="D4" s="449">
        <f>huishoudens!D8</f>
        <v>87340.967163239286</v>
      </c>
      <c r="E4" s="449">
        <f>huishoudens!E8</f>
        <v>1268.263776822356</v>
      </c>
      <c r="F4" s="449">
        <f>huishoudens!F8</f>
        <v>38665.680410338922</v>
      </c>
      <c r="G4" s="449">
        <f>huishoudens!G8</f>
        <v>0</v>
      </c>
      <c r="H4" s="449">
        <f>huishoudens!H8</f>
        <v>0</v>
      </c>
      <c r="I4" s="449">
        <f>huishoudens!I8</f>
        <v>0</v>
      </c>
      <c r="J4" s="449">
        <f>huishoudens!J8</f>
        <v>701.57529815034366</v>
      </c>
      <c r="K4" s="449">
        <f>huishoudens!K8</f>
        <v>0</v>
      </c>
      <c r="L4" s="449">
        <f>huishoudens!L8</f>
        <v>0</v>
      </c>
      <c r="M4" s="449">
        <f>huishoudens!M8</f>
        <v>0</v>
      </c>
      <c r="N4" s="449">
        <f>huishoudens!N8</f>
        <v>10409.239759889706</v>
      </c>
      <c r="O4" s="449">
        <f>huishoudens!O8</f>
        <v>106.30666666666667</v>
      </c>
      <c r="P4" s="450">
        <f>huishoudens!P8</f>
        <v>400.4</v>
      </c>
      <c r="Q4" s="451">
        <f>SUM(B4:P4)</f>
        <v>175164.71243438896</v>
      </c>
    </row>
    <row r="5" spans="1:17">
      <c r="A5" s="448" t="s">
        <v>155</v>
      </c>
      <c r="B5" s="449">
        <f ca="1">tertiair!B16</f>
        <v>13416.647068108261</v>
      </c>
      <c r="C5" s="449">
        <f ca="1">tertiair!C16</f>
        <v>0</v>
      </c>
      <c r="D5" s="449">
        <f ca="1">tertiair!D16</f>
        <v>20864.137549290645</v>
      </c>
      <c r="E5" s="449">
        <f>tertiair!E16</f>
        <v>118.32588347541532</v>
      </c>
      <c r="F5" s="449">
        <f ca="1">tertiair!F16</f>
        <v>2608.8844953841653</v>
      </c>
      <c r="G5" s="449">
        <f>tertiair!G16</f>
        <v>0</v>
      </c>
      <c r="H5" s="449">
        <f>tertiair!H16</f>
        <v>0</v>
      </c>
      <c r="I5" s="449">
        <f>tertiair!I16</f>
        <v>0</v>
      </c>
      <c r="J5" s="449">
        <f>tertiair!J16</f>
        <v>0</v>
      </c>
      <c r="K5" s="449">
        <f>tertiair!K16</f>
        <v>0</v>
      </c>
      <c r="L5" s="449">
        <f ca="1">tertiair!L16</f>
        <v>0</v>
      </c>
      <c r="M5" s="449">
        <f>tertiair!M16</f>
        <v>0</v>
      </c>
      <c r="N5" s="449">
        <f ca="1">tertiair!N16</f>
        <v>1072.4939163829029</v>
      </c>
      <c r="O5" s="449">
        <f>tertiair!O16</f>
        <v>0</v>
      </c>
      <c r="P5" s="450">
        <f>tertiair!P16</f>
        <v>0</v>
      </c>
      <c r="Q5" s="448">
        <f t="shared" ref="Q5:Q14" ca="1" si="0">SUM(B5:P5)</f>
        <v>38080.488912641398</v>
      </c>
    </row>
    <row r="6" spans="1:17">
      <c r="A6" s="448" t="s">
        <v>193</v>
      </c>
      <c r="B6" s="449">
        <f>'openbare verlichting'!B8</f>
        <v>1200.8720000000001</v>
      </c>
      <c r="C6" s="449"/>
      <c r="D6" s="449"/>
      <c r="E6" s="449"/>
      <c r="F6" s="449"/>
      <c r="G6" s="449"/>
      <c r="H6" s="449"/>
      <c r="I6" s="449"/>
      <c r="J6" s="449"/>
      <c r="K6" s="449"/>
      <c r="L6" s="449"/>
      <c r="M6" s="449"/>
      <c r="N6" s="449"/>
      <c r="O6" s="449"/>
      <c r="P6" s="450"/>
      <c r="Q6" s="448">
        <f t="shared" si="0"/>
        <v>1200.8720000000001</v>
      </c>
    </row>
    <row r="7" spans="1:17">
      <c r="A7" s="448" t="s">
        <v>111</v>
      </c>
      <c r="B7" s="449">
        <f>landbouw!B8</f>
        <v>4388.1187240548452</v>
      </c>
      <c r="C7" s="449">
        <f>landbouw!C8</f>
        <v>43200</v>
      </c>
      <c r="D7" s="449">
        <f>landbouw!D8</f>
        <v>0</v>
      </c>
      <c r="E7" s="449">
        <f>landbouw!E8</f>
        <v>41.339018516587331</v>
      </c>
      <c r="F7" s="449">
        <f>landbouw!F8</f>
        <v>14319.887685299449</v>
      </c>
      <c r="G7" s="449">
        <f>landbouw!G8</f>
        <v>0</v>
      </c>
      <c r="H7" s="449">
        <f>landbouw!H8</f>
        <v>0</v>
      </c>
      <c r="I7" s="449">
        <f>landbouw!I8</f>
        <v>0</v>
      </c>
      <c r="J7" s="449">
        <f>landbouw!J8</f>
        <v>542.83162997095826</v>
      </c>
      <c r="K7" s="449">
        <f>landbouw!K8</f>
        <v>0</v>
      </c>
      <c r="L7" s="449">
        <f>landbouw!L8</f>
        <v>0</v>
      </c>
      <c r="M7" s="449">
        <f>landbouw!M8</f>
        <v>0</v>
      </c>
      <c r="N7" s="449">
        <f>landbouw!N8</f>
        <v>0</v>
      </c>
      <c r="O7" s="449">
        <f>landbouw!O8</f>
        <v>0</v>
      </c>
      <c r="P7" s="450">
        <f>landbouw!P8</f>
        <v>0</v>
      </c>
      <c r="Q7" s="448">
        <f t="shared" si="0"/>
        <v>62492.177057841836</v>
      </c>
    </row>
    <row r="8" spans="1:17">
      <c r="A8" s="448" t="s">
        <v>671</v>
      </c>
      <c r="B8" s="449">
        <f>industrie!B18</f>
        <v>7470.7130105623928</v>
      </c>
      <c r="C8" s="449">
        <f>industrie!C18</f>
        <v>0</v>
      </c>
      <c r="D8" s="449">
        <f>industrie!D18</f>
        <v>7062.3555100597041</v>
      </c>
      <c r="E8" s="449">
        <f>industrie!E18</f>
        <v>59.329833259233823</v>
      </c>
      <c r="F8" s="449">
        <f>industrie!F18</f>
        <v>3049.3512925303166</v>
      </c>
      <c r="G8" s="449">
        <f>industrie!G18</f>
        <v>0</v>
      </c>
      <c r="H8" s="449">
        <f>industrie!H18</f>
        <v>0</v>
      </c>
      <c r="I8" s="449">
        <f>industrie!I18</f>
        <v>0</v>
      </c>
      <c r="J8" s="449">
        <f>industrie!J18</f>
        <v>19.084592858091348</v>
      </c>
      <c r="K8" s="449">
        <f>industrie!K18</f>
        <v>0</v>
      </c>
      <c r="L8" s="449">
        <f>industrie!L18</f>
        <v>0</v>
      </c>
      <c r="M8" s="449">
        <f>industrie!M18</f>
        <v>0</v>
      </c>
      <c r="N8" s="449">
        <f>industrie!N18</f>
        <v>316.72667436846393</v>
      </c>
      <c r="O8" s="449">
        <f>industrie!O18</f>
        <v>0</v>
      </c>
      <c r="P8" s="450">
        <f>industrie!P18</f>
        <v>0</v>
      </c>
      <c r="Q8" s="448">
        <f t="shared" si="0"/>
        <v>17977.560913638205</v>
      </c>
    </row>
    <row r="9" spans="1:17" s="454" customFormat="1">
      <c r="A9" s="452" t="s">
        <v>568</v>
      </c>
      <c r="B9" s="453">
        <f>transport!B14</f>
        <v>6.8508293376955347</v>
      </c>
      <c r="C9" s="453">
        <f>transport!C14</f>
        <v>0</v>
      </c>
      <c r="D9" s="453">
        <f>transport!D14</f>
        <v>8.9897177106369988</v>
      </c>
      <c r="E9" s="453">
        <f>transport!E14</f>
        <v>621.02137386227889</v>
      </c>
      <c r="F9" s="453">
        <f>transport!F14</f>
        <v>0</v>
      </c>
      <c r="G9" s="453">
        <f>transport!G14</f>
        <v>159497.5414714682</v>
      </c>
      <c r="H9" s="453">
        <f>transport!H14</f>
        <v>21901.043159041346</v>
      </c>
      <c r="I9" s="453">
        <f>transport!I14</f>
        <v>0</v>
      </c>
      <c r="J9" s="453">
        <f>transport!J14</f>
        <v>0</v>
      </c>
      <c r="K9" s="453">
        <f>transport!K14</f>
        <v>0</v>
      </c>
      <c r="L9" s="453">
        <f>transport!L14</f>
        <v>0</v>
      </c>
      <c r="M9" s="453">
        <f>transport!M14</f>
        <v>8100.1303576275068</v>
      </c>
      <c r="N9" s="453">
        <f>transport!N14</f>
        <v>0</v>
      </c>
      <c r="O9" s="453">
        <f>transport!O14</f>
        <v>0</v>
      </c>
      <c r="P9" s="453">
        <f>transport!P14</f>
        <v>0</v>
      </c>
      <c r="Q9" s="452">
        <f>SUM(B9:P9)</f>
        <v>190135.57690904767</v>
      </c>
    </row>
    <row r="10" spans="1:17">
      <c r="A10" s="448" t="s">
        <v>558</v>
      </c>
      <c r="B10" s="449">
        <f>transport!B54</f>
        <v>9.8497998562042302</v>
      </c>
      <c r="C10" s="449">
        <f>transport!C54</f>
        <v>0</v>
      </c>
      <c r="D10" s="449">
        <f>transport!D54</f>
        <v>0</v>
      </c>
      <c r="E10" s="449">
        <f>transport!E54</f>
        <v>0</v>
      </c>
      <c r="F10" s="449">
        <f>transport!F54</f>
        <v>0</v>
      </c>
      <c r="G10" s="449">
        <f>transport!G54</f>
        <v>1964.5620008440144</v>
      </c>
      <c r="H10" s="449">
        <f>transport!H54</f>
        <v>0</v>
      </c>
      <c r="I10" s="449">
        <f>transport!I54</f>
        <v>0</v>
      </c>
      <c r="J10" s="449">
        <f>transport!J54</f>
        <v>0</v>
      </c>
      <c r="K10" s="449">
        <f>transport!K54</f>
        <v>0</v>
      </c>
      <c r="L10" s="449">
        <f>transport!L54</f>
        <v>0</v>
      </c>
      <c r="M10" s="449">
        <f>transport!M54</f>
        <v>86.831548061321939</v>
      </c>
      <c r="N10" s="449">
        <f>transport!N54</f>
        <v>0</v>
      </c>
      <c r="O10" s="449">
        <f>transport!O54</f>
        <v>0</v>
      </c>
      <c r="P10" s="450">
        <f>transport!P54</f>
        <v>0</v>
      </c>
      <c r="Q10" s="448">
        <f t="shared" si="0"/>
        <v>2061.2433487615408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945.75079828457694</v>
      </c>
      <c r="C14" s="456"/>
      <c r="D14" s="456">
        <f>'SEAP template'!E25</f>
        <v>2466.7936571411901</v>
      </c>
      <c r="E14" s="456"/>
      <c r="F14" s="456"/>
      <c r="G14" s="456"/>
      <c r="H14" s="456"/>
      <c r="I14" s="456"/>
      <c r="J14" s="456"/>
      <c r="K14" s="456"/>
      <c r="L14" s="456"/>
      <c r="M14" s="456"/>
      <c r="N14" s="456"/>
      <c r="O14" s="456"/>
      <c r="P14" s="457"/>
      <c r="Q14" s="448">
        <f t="shared" si="0"/>
        <v>3412.544455425767</v>
      </c>
    </row>
    <row r="15" spans="1:17" s="461" customFormat="1">
      <c r="A15" s="458" t="s">
        <v>562</v>
      </c>
      <c r="B15" s="459">
        <f ca="1">SUM(B4:B14)</f>
        <v>63711.081589485679</v>
      </c>
      <c r="C15" s="459">
        <f t="shared" ref="C15:Q15" ca="1" si="1">SUM(C4:C14)</f>
        <v>43200</v>
      </c>
      <c r="D15" s="459">
        <f t="shared" ca="1" si="1"/>
        <v>117743.24359744144</v>
      </c>
      <c r="E15" s="459">
        <f t="shared" si="1"/>
        <v>2108.2798859358713</v>
      </c>
      <c r="F15" s="459">
        <f t="shared" ca="1" si="1"/>
        <v>58643.803883552857</v>
      </c>
      <c r="G15" s="459">
        <f t="shared" si="1"/>
        <v>161462.10347231221</v>
      </c>
      <c r="H15" s="459">
        <f t="shared" si="1"/>
        <v>21901.043159041346</v>
      </c>
      <c r="I15" s="459">
        <f t="shared" si="1"/>
        <v>0</v>
      </c>
      <c r="J15" s="459">
        <f t="shared" si="1"/>
        <v>1263.4915209793933</v>
      </c>
      <c r="K15" s="459">
        <f t="shared" si="1"/>
        <v>0</v>
      </c>
      <c r="L15" s="459">
        <f t="shared" ca="1" si="1"/>
        <v>0</v>
      </c>
      <c r="M15" s="459">
        <f t="shared" si="1"/>
        <v>8186.9619056888287</v>
      </c>
      <c r="N15" s="459">
        <f t="shared" ca="1" si="1"/>
        <v>11798.460350641071</v>
      </c>
      <c r="O15" s="459">
        <f t="shared" si="1"/>
        <v>106.30666666666667</v>
      </c>
      <c r="P15" s="459">
        <f t="shared" si="1"/>
        <v>400.4</v>
      </c>
      <c r="Q15" s="459">
        <f t="shared" ca="1" si="1"/>
        <v>490525.17603174533</v>
      </c>
    </row>
    <row r="17" spans="1:17">
      <c r="A17" s="462" t="s">
        <v>563</v>
      </c>
      <c r="B17" s="766">
        <f ca="1">huishoudens!B10</f>
        <v>0.195896047324044</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7105.596153916792</v>
      </c>
      <c r="C22" s="449">
        <f t="shared" ref="C22:C32" ca="1" si="3">C4*$C$17</f>
        <v>0</v>
      </c>
      <c r="D22" s="449">
        <f t="shared" ref="D22:D32" si="4">D4*$D$17</f>
        <v>17642.875366974338</v>
      </c>
      <c r="E22" s="449">
        <f t="shared" ref="E22:E32" si="5">E4*$E$17</f>
        <v>287.89587733867484</v>
      </c>
      <c r="F22" s="449">
        <f t="shared" ref="F22:F32" si="6">F4*$F$17</f>
        <v>10323.736669560492</v>
      </c>
      <c r="G22" s="449">
        <f t="shared" ref="G22:G32" si="7">G4*$G$17</f>
        <v>0</v>
      </c>
      <c r="H22" s="449">
        <f t="shared" ref="H22:H32" si="8">H4*$H$17</f>
        <v>0</v>
      </c>
      <c r="I22" s="449">
        <f t="shared" ref="I22:I32" si="9">I4*$I$17</f>
        <v>0</v>
      </c>
      <c r="J22" s="449">
        <f t="shared" ref="J22:J32" si="10">J4*$J$17</f>
        <v>248.35765554522163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35608.461723335524</v>
      </c>
    </row>
    <row r="23" spans="1:17">
      <c r="A23" s="448" t="s">
        <v>155</v>
      </c>
      <c r="B23" s="449">
        <f t="shared" ca="1" si="2"/>
        <v>2628.2681289841321</v>
      </c>
      <c r="C23" s="449">
        <f t="shared" ca="1" si="3"/>
        <v>0</v>
      </c>
      <c r="D23" s="449">
        <f t="shared" ca="1" si="4"/>
        <v>4214.5557849567103</v>
      </c>
      <c r="E23" s="449">
        <f t="shared" si="5"/>
        <v>26.85997554891928</v>
      </c>
      <c r="F23" s="449">
        <f t="shared" ca="1" si="6"/>
        <v>696.57216026757214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7566.256049757334</v>
      </c>
    </row>
    <row r="24" spans="1:17">
      <c r="A24" s="448" t="s">
        <v>193</v>
      </c>
      <c r="B24" s="449">
        <f t="shared" ca="1" si="2"/>
        <v>235.24607814211939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235.24607814211939</v>
      </c>
    </row>
    <row r="25" spans="1:17">
      <c r="A25" s="448" t="s">
        <v>111</v>
      </c>
      <c r="B25" s="449">
        <f t="shared" ca="1" si="2"/>
        <v>859.61511323097159</v>
      </c>
      <c r="C25" s="449">
        <f t="shared" ca="1" si="3"/>
        <v>10266.352941176472</v>
      </c>
      <c r="D25" s="449">
        <f t="shared" si="4"/>
        <v>0</v>
      </c>
      <c r="E25" s="449">
        <f t="shared" si="5"/>
        <v>9.3839572032653251</v>
      </c>
      <c r="F25" s="449">
        <f t="shared" si="6"/>
        <v>3823.4100119749532</v>
      </c>
      <c r="G25" s="449">
        <f t="shared" si="7"/>
        <v>0</v>
      </c>
      <c r="H25" s="449">
        <f t="shared" si="8"/>
        <v>0</v>
      </c>
      <c r="I25" s="449">
        <f t="shared" si="9"/>
        <v>0</v>
      </c>
      <c r="J25" s="449">
        <f t="shared" si="10"/>
        <v>192.1623970097192</v>
      </c>
      <c r="K25" s="449">
        <f t="shared" si="11"/>
        <v>0</v>
      </c>
      <c r="L25" s="449">
        <f t="shared" si="12"/>
        <v>0</v>
      </c>
      <c r="M25" s="449">
        <f t="shared" si="13"/>
        <v>0</v>
      </c>
      <c r="N25" s="449">
        <f t="shared" si="14"/>
        <v>0</v>
      </c>
      <c r="O25" s="449">
        <f t="shared" si="15"/>
        <v>0</v>
      </c>
      <c r="P25" s="450">
        <f t="shared" si="16"/>
        <v>0</v>
      </c>
      <c r="Q25" s="448">
        <f t="shared" ca="1" si="17"/>
        <v>15150.92442059538</v>
      </c>
    </row>
    <row r="26" spans="1:17">
      <c r="A26" s="448" t="s">
        <v>671</v>
      </c>
      <c r="B26" s="449">
        <f t="shared" ca="1" si="2"/>
        <v>1463.4831494614818</v>
      </c>
      <c r="C26" s="449">
        <f t="shared" ca="1" si="3"/>
        <v>0</v>
      </c>
      <c r="D26" s="449">
        <f t="shared" si="4"/>
        <v>1426.5958130320603</v>
      </c>
      <c r="E26" s="449">
        <f t="shared" si="5"/>
        <v>13.467872149846078</v>
      </c>
      <c r="F26" s="449">
        <f t="shared" si="6"/>
        <v>814.17679510559458</v>
      </c>
      <c r="G26" s="449">
        <f t="shared" si="7"/>
        <v>0</v>
      </c>
      <c r="H26" s="449">
        <f t="shared" si="8"/>
        <v>0</v>
      </c>
      <c r="I26" s="449">
        <f t="shared" si="9"/>
        <v>0</v>
      </c>
      <c r="J26" s="449">
        <f t="shared" si="10"/>
        <v>6.7559458717643368</v>
      </c>
      <c r="K26" s="449">
        <f t="shared" si="11"/>
        <v>0</v>
      </c>
      <c r="L26" s="449">
        <f t="shared" si="12"/>
        <v>0</v>
      </c>
      <c r="M26" s="449">
        <f t="shared" si="13"/>
        <v>0</v>
      </c>
      <c r="N26" s="449">
        <f t="shared" si="14"/>
        <v>0</v>
      </c>
      <c r="O26" s="449">
        <f t="shared" si="15"/>
        <v>0</v>
      </c>
      <c r="P26" s="450">
        <f t="shared" si="16"/>
        <v>0</v>
      </c>
      <c r="Q26" s="448">
        <f t="shared" ca="1" si="17"/>
        <v>3724.4795756207473</v>
      </c>
    </row>
    <row r="27" spans="1:17" s="454" customFormat="1">
      <c r="A27" s="452" t="s">
        <v>568</v>
      </c>
      <c r="B27" s="760">
        <f t="shared" ca="1" si="2"/>
        <v>1.3420503881461534</v>
      </c>
      <c r="C27" s="453">
        <f t="shared" ca="1" si="3"/>
        <v>0</v>
      </c>
      <c r="D27" s="453">
        <f t="shared" si="4"/>
        <v>1.8159229775486738</v>
      </c>
      <c r="E27" s="453">
        <f t="shared" si="5"/>
        <v>140.97185186673732</v>
      </c>
      <c r="F27" s="453">
        <f t="shared" si="6"/>
        <v>0</v>
      </c>
      <c r="G27" s="453">
        <f t="shared" si="7"/>
        <v>42585.843572882011</v>
      </c>
      <c r="H27" s="453">
        <f t="shared" si="8"/>
        <v>5453.3597466012952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48183.33314471574</v>
      </c>
    </row>
    <row r="28" spans="1:17">
      <c r="A28" s="448" t="s">
        <v>558</v>
      </c>
      <c r="B28" s="449">
        <f t="shared" ca="1" si="2"/>
        <v>1.9295368587633457</v>
      </c>
      <c r="C28" s="449">
        <f t="shared" ca="1" si="3"/>
        <v>0</v>
      </c>
      <c r="D28" s="449">
        <f t="shared" si="4"/>
        <v>0</v>
      </c>
      <c r="E28" s="449">
        <f t="shared" si="5"/>
        <v>0</v>
      </c>
      <c r="F28" s="449">
        <f t="shared" si="6"/>
        <v>0</v>
      </c>
      <c r="G28" s="449">
        <f t="shared" si="7"/>
        <v>524.53805422535186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526.46759108411516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185.26884313750787</v>
      </c>
      <c r="C32" s="449">
        <f t="shared" ca="1" si="3"/>
        <v>0</v>
      </c>
      <c r="D32" s="449">
        <f t="shared" si="4"/>
        <v>498.29231874252042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683.56116188002829</v>
      </c>
    </row>
    <row r="33" spans="1:17" s="461" customFormat="1">
      <c r="A33" s="458" t="s">
        <v>562</v>
      </c>
      <c r="B33" s="459">
        <f ca="1">SUM(B22:B32)</f>
        <v>12480.749054119913</v>
      </c>
      <c r="C33" s="459">
        <f t="shared" ref="C33:Q33" ca="1" si="18">SUM(C22:C32)</f>
        <v>10266.352941176472</v>
      </c>
      <c r="D33" s="459">
        <f t="shared" ca="1" si="18"/>
        <v>23784.135206683182</v>
      </c>
      <c r="E33" s="459">
        <f t="shared" si="18"/>
        <v>478.57953410744284</v>
      </c>
      <c r="F33" s="459">
        <f t="shared" ca="1" si="18"/>
        <v>15657.895636908612</v>
      </c>
      <c r="G33" s="459">
        <f t="shared" si="18"/>
        <v>43110.381627107367</v>
      </c>
      <c r="H33" s="459">
        <f t="shared" si="18"/>
        <v>5453.3597466012952</v>
      </c>
      <c r="I33" s="459">
        <f t="shared" si="18"/>
        <v>0</v>
      </c>
      <c r="J33" s="459">
        <f t="shared" si="18"/>
        <v>447.27599842670514</v>
      </c>
      <c r="K33" s="459">
        <f t="shared" si="18"/>
        <v>0</v>
      </c>
      <c r="L33" s="459">
        <f t="shared" ca="1" si="18"/>
        <v>0</v>
      </c>
      <c r="M33" s="459">
        <f t="shared" si="18"/>
        <v>0</v>
      </c>
      <c r="N33" s="459">
        <f t="shared" ca="1" si="18"/>
        <v>0</v>
      </c>
      <c r="O33" s="459">
        <f t="shared" si="18"/>
        <v>0</v>
      </c>
      <c r="P33" s="459">
        <f t="shared" si="18"/>
        <v>0</v>
      </c>
      <c r="Q33" s="459">
        <f t="shared" ca="1" si="18"/>
        <v>111678.729745131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3393.7085912764041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6121.2553724337704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30240</v>
      </c>
      <c r="D8" s="1015">
        <f>'SEAP template'!D76</f>
        <v>35576.470588235294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7186.4470588235299</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9514.9639637101754</v>
      </c>
      <c r="C10" s="1019">
        <f>SUM(C4:C9)</f>
        <v>30240</v>
      </c>
      <c r="D10" s="1019">
        <f t="shared" ref="D10:H10" si="0">SUM(D8:D9)</f>
        <v>35576.470588235294</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7186.4470588235299</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0.195896047324044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43200</v>
      </c>
      <c r="D17" s="1016">
        <f>'SEAP template'!D87</f>
        <v>50823.529411764706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10266.352941176472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43200</v>
      </c>
      <c r="D20" s="1019">
        <f t="shared" ref="D20:H20" si="2">SUM(D17:D19)</f>
        <v>50823.529411764706</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10266.352941176472</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0.195896047324044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0.195896047324044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0.195896047324044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7426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3626</v>
      </c>
      <c r="C14" s="327"/>
      <c r="D14" s="327"/>
      <c r="E14" s="327"/>
      <c r="F14" s="327"/>
    </row>
    <row r="15" spans="1:6">
      <c r="A15" s="1295" t="s">
        <v>183</v>
      </c>
      <c r="B15" s="1296">
        <v>10</v>
      </c>
      <c r="C15" s="327"/>
      <c r="D15" s="327"/>
      <c r="E15" s="327"/>
      <c r="F15" s="327"/>
    </row>
    <row r="16" spans="1:6">
      <c r="A16" s="1295" t="s">
        <v>6</v>
      </c>
      <c r="B16" s="1296">
        <v>661</v>
      </c>
      <c r="C16" s="327"/>
      <c r="D16" s="327"/>
      <c r="E16" s="327"/>
      <c r="F16" s="327"/>
    </row>
    <row r="17" spans="1:6">
      <c r="A17" s="1295" t="s">
        <v>7</v>
      </c>
      <c r="B17" s="1296">
        <v>802</v>
      </c>
      <c r="C17" s="327"/>
      <c r="D17" s="327"/>
      <c r="E17" s="327"/>
      <c r="F17" s="327"/>
    </row>
    <row r="18" spans="1:6">
      <c r="A18" s="1295" t="s">
        <v>8</v>
      </c>
      <c r="B18" s="1296">
        <v>1243</v>
      </c>
      <c r="C18" s="327"/>
      <c r="D18" s="327"/>
      <c r="E18" s="327"/>
      <c r="F18" s="327"/>
    </row>
    <row r="19" spans="1:6">
      <c r="A19" s="1295" t="s">
        <v>9</v>
      </c>
      <c r="B19" s="1296">
        <v>1250</v>
      </c>
      <c r="C19" s="327"/>
      <c r="D19" s="327"/>
      <c r="E19" s="327"/>
      <c r="F19" s="327"/>
    </row>
    <row r="20" spans="1:6">
      <c r="A20" s="1295" t="s">
        <v>10</v>
      </c>
      <c r="B20" s="1296">
        <v>784</v>
      </c>
      <c r="C20" s="327"/>
      <c r="D20" s="327"/>
      <c r="E20" s="327"/>
      <c r="F20" s="327"/>
    </row>
    <row r="21" spans="1:6">
      <c r="A21" s="1295" t="s">
        <v>11</v>
      </c>
      <c r="B21" s="1296">
        <v>6925</v>
      </c>
      <c r="C21" s="327"/>
      <c r="D21" s="327"/>
      <c r="E21" s="327"/>
      <c r="F21" s="327"/>
    </row>
    <row r="22" spans="1:6">
      <c r="A22" s="1295" t="s">
        <v>12</v>
      </c>
      <c r="B22" s="1296">
        <v>29197</v>
      </c>
      <c r="C22" s="327"/>
      <c r="D22" s="327"/>
      <c r="E22" s="327"/>
      <c r="F22" s="327"/>
    </row>
    <row r="23" spans="1:6">
      <c r="A23" s="1295" t="s">
        <v>13</v>
      </c>
      <c r="B23" s="1296">
        <v>235</v>
      </c>
      <c r="C23" s="327"/>
      <c r="D23" s="327"/>
      <c r="E23" s="327"/>
      <c r="F23" s="327"/>
    </row>
    <row r="24" spans="1:6">
      <c r="A24" s="1295" t="s">
        <v>14</v>
      </c>
      <c r="B24" s="1296">
        <v>147</v>
      </c>
      <c r="C24" s="327"/>
      <c r="D24" s="327"/>
      <c r="E24" s="327"/>
      <c r="F24" s="327"/>
    </row>
    <row r="25" spans="1:6">
      <c r="A25" s="1295" t="s">
        <v>15</v>
      </c>
      <c r="B25" s="1296">
        <v>1822</v>
      </c>
      <c r="C25" s="327"/>
      <c r="D25" s="327"/>
      <c r="E25" s="327"/>
      <c r="F25" s="327"/>
    </row>
    <row r="26" spans="1:6">
      <c r="A26" s="1295" t="s">
        <v>16</v>
      </c>
      <c r="B26" s="1296">
        <v>299</v>
      </c>
      <c r="C26" s="327"/>
      <c r="D26" s="327"/>
      <c r="E26" s="327"/>
      <c r="F26" s="327"/>
    </row>
    <row r="27" spans="1:6">
      <c r="A27" s="1295" t="s">
        <v>17</v>
      </c>
      <c r="B27" s="1296">
        <v>2566</v>
      </c>
      <c r="C27" s="327"/>
      <c r="D27" s="327"/>
      <c r="E27" s="327"/>
      <c r="F27" s="327"/>
    </row>
    <row r="28" spans="1:6" s="44" customFormat="1">
      <c r="A28" s="1297" t="s">
        <v>18</v>
      </c>
      <c r="B28" s="1298">
        <v>227643</v>
      </c>
      <c r="C28" s="333"/>
      <c r="D28" s="333"/>
      <c r="E28" s="333"/>
      <c r="F28" s="333"/>
    </row>
    <row r="29" spans="1:6">
      <c r="A29" s="1297" t="s">
        <v>961</v>
      </c>
      <c r="B29" s="1298">
        <v>260</v>
      </c>
      <c r="C29" s="333"/>
      <c r="D29" s="333"/>
      <c r="E29" s="333"/>
      <c r="F29" s="333"/>
    </row>
    <row r="30" spans="1:6">
      <c r="A30" s="1290" t="s">
        <v>962</v>
      </c>
      <c r="B30" s="1299">
        <v>70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307634.95239947003</v>
      </c>
      <c r="E38" s="1296">
        <v>4</v>
      </c>
      <c r="F38" s="1296">
        <v>139178.95820583301</v>
      </c>
    </row>
    <row r="39" spans="1:6">
      <c r="A39" s="1295" t="s">
        <v>29</v>
      </c>
      <c r="B39" s="1295" t="s">
        <v>30</v>
      </c>
      <c r="C39" s="1296">
        <v>5228</v>
      </c>
      <c r="D39" s="1296">
        <v>96830340.535742</v>
      </c>
      <c r="E39" s="1296">
        <v>7307</v>
      </c>
      <c r="F39" s="1296">
        <v>32160727.500030801</v>
      </c>
    </row>
    <row r="40" spans="1:6">
      <c r="A40" s="1295" t="s">
        <v>29</v>
      </c>
      <c r="B40" s="1295" t="s">
        <v>28</v>
      </c>
      <c r="C40" s="1296">
        <v>0</v>
      </c>
      <c r="D40" s="1296">
        <v>0</v>
      </c>
      <c r="E40" s="1296">
        <v>0</v>
      </c>
      <c r="F40" s="1296">
        <v>0</v>
      </c>
    </row>
    <row r="41" spans="1:6">
      <c r="A41" s="1295" t="s">
        <v>31</v>
      </c>
      <c r="B41" s="1295" t="s">
        <v>32</v>
      </c>
      <c r="C41" s="1296">
        <v>65</v>
      </c>
      <c r="D41" s="1296">
        <v>2025884.25347483</v>
      </c>
      <c r="E41" s="1296">
        <v>124</v>
      </c>
      <c r="F41" s="1296">
        <v>2985220.7151558599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7</v>
      </c>
      <c r="D44" s="1296">
        <v>181891.34113433701</v>
      </c>
      <c r="E44" s="1296">
        <v>21</v>
      </c>
      <c r="F44" s="1296">
        <v>557936.53414706199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20</v>
      </c>
      <c r="D48" s="1296">
        <v>3675002.2996951998</v>
      </c>
      <c r="E48" s="1296">
        <v>34</v>
      </c>
      <c r="F48" s="1296">
        <v>1917954.7979236599</v>
      </c>
    </row>
    <row r="49" spans="1:6">
      <c r="A49" s="1295" t="s">
        <v>31</v>
      </c>
      <c r="B49" s="1295" t="s">
        <v>39</v>
      </c>
      <c r="C49" s="1296">
        <v>0</v>
      </c>
      <c r="D49" s="1296">
        <v>0</v>
      </c>
      <c r="E49" s="1296">
        <v>0</v>
      </c>
      <c r="F49" s="1296">
        <v>0</v>
      </c>
    </row>
    <row r="50" spans="1:6">
      <c r="A50" s="1295" t="s">
        <v>31</v>
      </c>
      <c r="B50" s="1295" t="s">
        <v>40</v>
      </c>
      <c r="C50" s="1296">
        <v>9</v>
      </c>
      <c r="D50" s="1296">
        <v>1946884.53369974</v>
      </c>
      <c r="E50" s="1296">
        <v>18</v>
      </c>
      <c r="F50" s="1296">
        <v>2009600.96333581</v>
      </c>
    </row>
    <row r="51" spans="1:6">
      <c r="A51" s="1295" t="s">
        <v>41</v>
      </c>
      <c r="B51" s="1295" t="s">
        <v>42</v>
      </c>
      <c r="C51" s="1296">
        <v>22</v>
      </c>
      <c r="D51" s="1296">
        <v>24711227.7361384</v>
      </c>
      <c r="E51" s="1296">
        <v>153</v>
      </c>
      <c r="F51" s="1296">
        <v>4221242.72587795</v>
      </c>
    </row>
    <row r="52" spans="1:6">
      <c r="A52" s="1295" t="s">
        <v>41</v>
      </c>
      <c r="B52" s="1295" t="s">
        <v>28</v>
      </c>
      <c r="C52" s="1296">
        <v>8</v>
      </c>
      <c r="D52" s="1296">
        <v>488640.24694930098</v>
      </c>
      <c r="E52" s="1296">
        <v>9</v>
      </c>
      <c r="F52" s="1296">
        <v>166875.99817689499</v>
      </c>
    </row>
    <row r="53" spans="1:6">
      <c r="A53" s="1295" t="s">
        <v>43</v>
      </c>
      <c r="B53" s="1295" t="s">
        <v>44</v>
      </c>
      <c r="C53" s="1296">
        <v>126</v>
      </c>
      <c r="D53" s="1296">
        <v>2466793.65714119</v>
      </c>
      <c r="E53" s="1296">
        <v>200</v>
      </c>
      <c r="F53" s="1296">
        <v>945750.79828457697</v>
      </c>
    </row>
    <row r="54" spans="1:6">
      <c r="A54" s="1295" t="s">
        <v>45</v>
      </c>
      <c r="B54" s="1295" t="s">
        <v>46</v>
      </c>
      <c r="C54" s="1296">
        <v>0</v>
      </c>
      <c r="D54" s="1296">
        <v>0</v>
      </c>
      <c r="E54" s="1296">
        <v>1</v>
      </c>
      <c r="F54" s="1296">
        <v>1200872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44</v>
      </c>
      <c r="D57" s="1296">
        <v>5079544.4851180697</v>
      </c>
      <c r="E57" s="1296">
        <v>80</v>
      </c>
      <c r="F57" s="1296">
        <v>1638090.67263862</v>
      </c>
    </row>
    <row r="58" spans="1:6">
      <c r="A58" s="1295" t="s">
        <v>48</v>
      </c>
      <c r="B58" s="1295" t="s">
        <v>50</v>
      </c>
      <c r="C58" s="1296">
        <v>20</v>
      </c>
      <c r="D58" s="1296">
        <v>410904.34161197901</v>
      </c>
      <c r="E58" s="1296">
        <v>29</v>
      </c>
      <c r="F58" s="1296">
        <v>140214.070729445</v>
      </c>
    </row>
    <row r="59" spans="1:6">
      <c r="A59" s="1295" t="s">
        <v>48</v>
      </c>
      <c r="B59" s="1295" t="s">
        <v>51</v>
      </c>
      <c r="C59" s="1296">
        <v>80</v>
      </c>
      <c r="D59" s="1296">
        <v>6221204.1137816096</v>
      </c>
      <c r="E59" s="1296">
        <v>152</v>
      </c>
      <c r="F59" s="1296">
        <v>4896065.9858716801</v>
      </c>
    </row>
    <row r="60" spans="1:6">
      <c r="A60" s="1295" t="s">
        <v>48</v>
      </c>
      <c r="B60" s="1295" t="s">
        <v>52</v>
      </c>
      <c r="C60" s="1296">
        <v>48</v>
      </c>
      <c r="D60" s="1296">
        <v>2022178.57349849</v>
      </c>
      <c r="E60" s="1296">
        <v>59</v>
      </c>
      <c r="F60" s="1296">
        <v>1130298.4213823699</v>
      </c>
    </row>
    <row r="61" spans="1:6">
      <c r="A61" s="1295" t="s">
        <v>48</v>
      </c>
      <c r="B61" s="1295" t="s">
        <v>53</v>
      </c>
      <c r="C61" s="1296">
        <v>116</v>
      </c>
      <c r="D61" s="1296">
        <v>4441440.4393950598</v>
      </c>
      <c r="E61" s="1296">
        <v>237</v>
      </c>
      <c r="F61" s="1296">
        <v>3937282.7050779201</v>
      </c>
    </row>
    <row r="62" spans="1:6">
      <c r="A62" s="1295" t="s">
        <v>48</v>
      </c>
      <c r="B62" s="1295" t="s">
        <v>54</v>
      </c>
      <c r="C62" s="1296">
        <v>6</v>
      </c>
      <c r="D62" s="1296">
        <v>380700.44259053998</v>
      </c>
      <c r="E62" s="1296">
        <v>10</v>
      </c>
      <c r="F62" s="1296">
        <v>145355.65116226699</v>
      </c>
    </row>
    <row r="63" spans="1:6">
      <c r="A63" s="1295" t="s">
        <v>48</v>
      </c>
      <c r="B63" s="1295" t="s">
        <v>28</v>
      </c>
      <c r="C63" s="1296">
        <v>77</v>
      </c>
      <c r="D63" s="1296">
        <v>4575000.4967876701</v>
      </c>
      <c r="E63" s="1296">
        <v>85</v>
      </c>
      <c r="F63" s="1296">
        <v>1529339.56124596</v>
      </c>
    </row>
    <row r="64" spans="1:6">
      <c r="A64" s="1295" t="s">
        <v>55</v>
      </c>
      <c r="B64" s="1295" t="s">
        <v>56</v>
      </c>
      <c r="C64" s="1296">
        <v>0</v>
      </c>
      <c r="D64" s="1296">
        <v>0</v>
      </c>
      <c r="E64" s="1296">
        <v>0</v>
      </c>
      <c r="F64" s="1296">
        <v>0</v>
      </c>
    </row>
    <row r="65" spans="1:6">
      <c r="A65" s="1295" t="s">
        <v>55</v>
      </c>
      <c r="B65" s="1295" t="s">
        <v>28</v>
      </c>
      <c r="C65" s="1296">
        <v>1</v>
      </c>
      <c r="D65" s="1296">
        <v>8262.7706183400005</v>
      </c>
      <c r="E65" s="1296">
        <v>2</v>
      </c>
      <c r="F65" s="1296">
        <v>14864.353957948801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176931.80769793599</v>
      </c>
      <c r="E68" s="1299">
        <v>24</v>
      </c>
      <c r="F68" s="1299">
        <v>245678.879692644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26776844</v>
      </c>
      <c r="E73" s="447"/>
      <c r="F73" s="327"/>
    </row>
    <row r="74" spans="1:6">
      <c r="A74" s="1295" t="s">
        <v>63</v>
      </c>
      <c r="B74" s="1295" t="s">
        <v>755</v>
      </c>
      <c r="C74" s="1309" t="s">
        <v>749</v>
      </c>
      <c r="D74" s="1310">
        <v>3349394.4515648312</v>
      </c>
      <c r="E74" s="447"/>
      <c r="F74" s="327"/>
    </row>
    <row r="75" spans="1:6">
      <c r="A75" s="1295" t="s">
        <v>64</v>
      </c>
      <c r="B75" s="1295" t="s">
        <v>754</v>
      </c>
      <c r="C75" s="1309" t="s">
        <v>750</v>
      </c>
      <c r="D75" s="1310">
        <v>54925828</v>
      </c>
      <c r="E75" s="447"/>
      <c r="F75" s="327"/>
    </row>
    <row r="76" spans="1:6">
      <c r="A76" s="1295" t="s">
        <v>64</v>
      </c>
      <c r="B76" s="1295" t="s">
        <v>755</v>
      </c>
      <c r="C76" s="1309" t="s">
        <v>751</v>
      </c>
      <c r="D76" s="1310">
        <v>3249222.4515648312</v>
      </c>
      <c r="E76" s="447"/>
      <c r="F76" s="327"/>
    </row>
    <row r="77" spans="1:6">
      <c r="A77" s="1295" t="s">
        <v>65</v>
      </c>
      <c r="B77" s="1295" t="s">
        <v>754</v>
      </c>
      <c r="C77" s="1309" t="s">
        <v>752</v>
      </c>
      <c r="D77" s="1310">
        <v>78499580</v>
      </c>
      <c r="E77" s="447"/>
      <c r="F77" s="327"/>
    </row>
    <row r="78" spans="1:6">
      <c r="A78" s="1290" t="s">
        <v>65</v>
      </c>
      <c r="B78" s="1290" t="s">
        <v>755</v>
      </c>
      <c r="C78" s="1290" t="s">
        <v>753</v>
      </c>
      <c r="D78" s="1311">
        <v>18914884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542655.09687033773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3393.7085912764041</v>
      </c>
      <c r="C90" s="327"/>
      <c r="D90" s="327"/>
      <c r="E90" s="327"/>
      <c r="F90" s="327"/>
    </row>
    <row r="91" spans="1:6">
      <c r="A91" s="1295" t="s">
        <v>67</v>
      </c>
      <c r="B91" s="1296">
        <v>4111.551859250897</v>
      </c>
      <c r="C91" s="327"/>
      <c r="D91" s="327"/>
      <c r="E91" s="327"/>
      <c r="F91" s="327"/>
    </row>
    <row r="92" spans="1:6">
      <c r="A92" s="1290" t="s">
        <v>68</v>
      </c>
      <c r="B92" s="1291">
        <v>2009.7035131828738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3398</v>
      </c>
      <c r="C97" s="327"/>
      <c r="D97" s="327"/>
      <c r="E97" s="327"/>
      <c r="F97" s="327"/>
    </row>
    <row r="98" spans="1:6">
      <c r="A98" s="1295" t="s">
        <v>71</v>
      </c>
      <c r="B98" s="1296">
        <v>2</v>
      </c>
      <c r="C98" s="327"/>
      <c r="D98" s="327"/>
      <c r="E98" s="327"/>
      <c r="F98" s="327"/>
    </row>
    <row r="99" spans="1:6">
      <c r="A99" s="1295" t="s">
        <v>72</v>
      </c>
      <c r="B99" s="1296">
        <v>114</v>
      </c>
      <c r="C99" s="327"/>
      <c r="D99" s="327"/>
      <c r="E99" s="327"/>
      <c r="F99" s="327"/>
    </row>
    <row r="100" spans="1:6">
      <c r="A100" s="1295" t="s">
        <v>73</v>
      </c>
      <c r="B100" s="1296">
        <v>499</v>
      </c>
      <c r="C100" s="327"/>
      <c r="D100" s="327"/>
      <c r="E100" s="327"/>
      <c r="F100" s="327"/>
    </row>
    <row r="101" spans="1:6">
      <c r="A101" s="1295" t="s">
        <v>74</v>
      </c>
      <c r="B101" s="1296">
        <v>141</v>
      </c>
      <c r="C101" s="327"/>
      <c r="D101" s="327"/>
      <c r="E101" s="327"/>
      <c r="F101" s="327"/>
    </row>
    <row r="102" spans="1:6">
      <c r="A102" s="1295" t="s">
        <v>75</v>
      </c>
      <c r="B102" s="1296">
        <v>152</v>
      </c>
      <c r="C102" s="327"/>
      <c r="D102" s="327"/>
      <c r="E102" s="327"/>
      <c r="F102" s="327"/>
    </row>
    <row r="103" spans="1:6">
      <c r="A103" s="1295" t="s">
        <v>76</v>
      </c>
      <c r="B103" s="1296">
        <v>229</v>
      </c>
      <c r="C103" s="327"/>
      <c r="D103" s="327"/>
      <c r="E103" s="327"/>
      <c r="F103" s="327"/>
    </row>
    <row r="104" spans="1:6">
      <c r="A104" s="1295" t="s">
        <v>77</v>
      </c>
      <c r="B104" s="1296">
        <v>1855</v>
      </c>
      <c r="C104" s="327"/>
      <c r="D104" s="327"/>
      <c r="E104" s="327"/>
      <c r="F104" s="327"/>
    </row>
    <row r="105" spans="1:6">
      <c r="A105" s="1290" t="s">
        <v>78</v>
      </c>
      <c r="B105" s="1299">
        <v>18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15</v>
      </c>
      <c r="D123" s="327"/>
      <c r="E123" s="327"/>
      <c r="F123" s="327"/>
    </row>
    <row r="124" spans="1:6" s="44" customFormat="1">
      <c r="A124" s="1297" t="s">
        <v>88</v>
      </c>
      <c r="B124" s="1318">
        <v>2</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53</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63711.081589485679</v>
      </c>
      <c r="C3" s="44" t="s">
        <v>169</v>
      </c>
      <c r="D3" s="44"/>
      <c r="E3" s="157"/>
      <c r="F3" s="44"/>
      <c r="G3" s="44"/>
      <c r="H3" s="44"/>
      <c r="I3" s="44"/>
      <c r="J3" s="44"/>
      <c r="K3" s="97"/>
    </row>
    <row r="4" spans="1:11">
      <c r="A4" s="354" t="s">
        <v>170</v>
      </c>
      <c r="B4" s="50">
        <f>IF(ISERROR('SEAP template'!B78+'SEAP template'!C78),0,'SEAP template'!B78+'SEAP template'!C78)</f>
        <v>39754.963963710179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7186.4470588235299</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0.195896047324044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10266.352941176472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43200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1200.8720000000001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1200.8720000000001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0.195896047324044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235.24607814211939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32160.7275000308</v>
      </c>
      <c r="C5" s="18">
        <f>IF(ISERROR('Eigen informatie GS &amp; warmtenet'!B57),0,'Eigen informatie GS &amp; warmtenet'!B57)</f>
        <v>0</v>
      </c>
      <c r="D5" s="31">
        <f>(SUM(HH_hh_gas_kWh,HH_rest_gas_kWh)/1000)*0.902</f>
        <v>87340.967163239286</v>
      </c>
      <c r="E5" s="18">
        <f>B32*B41</f>
        <v>1268.263776822356</v>
      </c>
      <c r="F5" s="18">
        <f>B36*B45</f>
        <v>38665.680410338922</v>
      </c>
      <c r="G5" s="19"/>
      <c r="H5" s="18"/>
      <c r="I5" s="18"/>
      <c r="J5" s="18">
        <f>B35*B44+C35*C44</f>
        <v>701.57529815034366</v>
      </c>
      <c r="K5" s="18"/>
      <c r="L5" s="18"/>
      <c r="M5" s="18"/>
      <c r="N5" s="18">
        <f>B34*B43+C34*C43</f>
        <v>10409.239759889706</v>
      </c>
      <c r="O5" s="18">
        <f>B52*B53*B54</f>
        <v>106.30666666666667</v>
      </c>
      <c r="P5" s="18">
        <f>B60*B61*B62/1000-B60*B61*B62/1000/B63</f>
        <v>400.4</v>
      </c>
    </row>
    <row r="6" spans="1:16">
      <c r="A6" s="17" t="s">
        <v>628</v>
      </c>
      <c r="B6" s="768">
        <f>kWh_PV_kleiner_dan_10kW</f>
        <v>4111.551859250897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36272.279359281696</v>
      </c>
      <c r="C8" s="22">
        <f>C5</f>
        <v>0</v>
      </c>
      <c r="D8" s="22">
        <f>D5</f>
        <v>87340.967163239286</v>
      </c>
      <c r="E8" s="22">
        <f>E5</f>
        <v>1268.263776822356</v>
      </c>
      <c r="F8" s="22">
        <f>F5</f>
        <v>38665.680410338922</v>
      </c>
      <c r="G8" s="22"/>
      <c r="H8" s="22"/>
      <c r="I8" s="22"/>
      <c r="J8" s="22">
        <f>J5</f>
        <v>701.57529815034366</v>
      </c>
      <c r="K8" s="22"/>
      <c r="L8" s="22">
        <f>L5</f>
        <v>0</v>
      </c>
      <c r="M8" s="22">
        <f>M5</f>
        <v>0</v>
      </c>
      <c r="N8" s="22">
        <f>N5</f>
        <v>10409.239759889706</v>
      </c>
      <c r="O8" s="22">
        <f>O5</f>
        <v>106.30666666666667</v>
      </c>
      <c r="P8" s="22">
        <f>P5</f>
        <v>400.4</v>
      </c>
    </row>
    <row r="9" spans="1:16">
      <c r="B9" s="20"/>
      <c r="C9" s="20"/>
      <c r="D9" s="258"/>
      <c r="E9" s="20"/>
      <c r="F9" s="20"/>
      <c r="G9" s="20"/>
      <c r="H9" s="20"/>
      <c r="I9" s="20"/>
      <c r="J9" s="20"/>
      <c r="K9" s="20"/>
      <c r="L9" s="20"/>
      <c r="M9" s="20"/>
      <c r="N9" s="20"/>
      <c r="O9" s="20"/>
      <c r="P9" s="20"/>
    </row>
    <row r="10" spans="1:16">
      <c r="A10" s="25" t="s">
        <v>213</v>
      </c>
      <c r="B10" s="26">
        <f ca="1">'EF ele_warmte'!B12</f>
        <v>0.195896047324044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7105.596153916792</v>
      </c>
      <c r="C12" s="24">
        <f ca="1">C10*C8</f>
        <v>0</v>
      </c>
      <c r="D12" s="24">
        <f>D8*D10</f>
        <v>17642.875366974338</v>
      </c>
      <c r="E12" s="24">
        <f>E10*E8</f>
        <v>287.89587733867484</v>
      </c>
      <c r="F12" s="24">
        <f>F10*F8</f>
        <v>10323.736669560492</v>
      </c>
      <c r="G12" s="24"/>
      <c r="H12" s="24"/>
      <c r="I12" s="24"/>
      <c r="J12" s="24">
        <f>J10*J8</f>
        <v>248.35765554522163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7426</v>
      </c>
      <c r="C26" s="37"/>
      <c r="D26" s="228"/>
    </row>
    <row r="27" spans="1:5" s="16" customFormat="1">
      <c r="A27" s="230" t="s">
        <v>654</v>
      </c>
      <c r="B27" s="38">
        <f>SUM(HH_hh_gas_aantal,HH_rest_gas_aantal)</f>
        <v>5228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4966.6000000000004</v>
      </c>
      <c r="C31" s="35" t="s">
        <v>110</v>
      </c>
      <c r="D31" s="174"/>
    </row>
    <row r="32" spans="1:5">
      <c r="A32" s="171" t="s">
        <v>72</v>
      </c>
      <c r="B32" s="34">
        <f>IF((B21*($B$26-($B$27-0.05*$B$27)-$B$60))&lt;0,0,B21*($B$26-($B$27-0.05*$B$27)-$B$60))</f>
        <v>59.92448605791035</v>
      </c>
      <c r="C32" s="35" t="s">
        <v>110</v>
      </c>
      <c r="D32" s="174"/>
    </row>
    <row r="33" spans="1:6">
      <c r="A33" s="171" t="s">
        <v>73</v>
      </c>
      <c r="B33" s="34">
        <f>IF((B22*($B$26-($B$27-0.05*$B$27)-$B$60))&lt;0,0,B22*($B$26-($B$27-0.05*$B$27)-$B$60))</f>
        <v>403.36207297437255</v>
      </c>
      <c r="C33" s="35" t="s">
        <v>110</v>
      </c>
      <c r="D33" s="174"/>
    </row>
    <row r="34" spans="1:6">
      <c r="A34" s="171" t="s">
        <v>74</v>
      </c>
      <c r="B34" s="34">
        <f>IF((B24*($B$26-($B$27-0.05*$B$27)-$B$60))&lt;0,0,B24*($B$26-($B$27-0.05*$B$27)-$B$60))</f>
        <v>102.3011238084204</v>
      </c>
      <c r="C34" s="34">
        <f>B26*C24</f>
        <v>1518.6342852705307</v>
      </c>
      <c r="D34" s="233"/>
    </row>
    <row r="35" spans="1:6">
      <c r="A35" s="171" t="s">
        <v>76</v>
      </c>
      <c r="B35" s="34">
        <f>IF((B19*($B$26-($B$27-0.05*$B$27)-$B$60))&lt;0,0,B19*($B$26-($B$27-0.05*$B$27)-$B$60))</f>
        <v>38.032320420910395</v>
      </c>
      <c r="C35" s="34">
        <f>B35/2</f>
        <v>19.016160210455197</v>
      </c>
      <c r="D35" s="233"/>
    </row>
    <row r="36" spans="1:6">
      <c r="A36" s="171" t="s">
        <v>77</v>
      </c>
      <c r="B36" s="34">
        <f>IF((B18*($B$26-($B$27-0.05*$B$27)-$B$60))&lt;0,0,B18*($B$26-($B$27-0.05*$B$27)-$B$60))</f>
        <v>1834.7799967383853</v>
      </c>
      <c r="C36" s="35" t="s">
        <v>110</v>
      </c>
      <c r="D36" s="174"/>
    </row>
    <row r="37" spans="1:6">
      <c r="A37" s="171" t="s">
        <v>78</v>
      </c>
      <c r="B37" s="34">
        <f>B60</f>
        <v>21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13416.647068108261</v>
      </c>
      <c r="C5" s="18">
        <f>IF(ISERROR('Eigen informatie GS &amp; warmtenet'!B58),0,'Eigen informatie GS &amp; warmtenet'!B58)</f>
        <v>0</v>
      </c>
      <c r="D5" s="31">
        <f>SUM(D6:D12)</f>
        <v>20864.137549290645</v>
      </c>
      <c r="E5" s="18">
        <f>SUM(E6:E12)</f>
        <v>118.32588347541532</v>
      </c>
      <c r="F5" s="18">
        <f>SUM(F6:F12)</f>
        <v>2608.8844953841653</v>
      </c>
      <c r="G5" s="19"/>
      <c r="H5" s="18"/>
      <c r="I5" s="18"/>
      <c r="J5" s="18">
        <f>SUM(J6:J12)</f>
        <v>0</v>
      </c>
      <c r="K5" s="18"/>
      <c r="L5" s="18"/>
      <c r="M5" s="18"/>
      <c r="N5" s="18">
        <f>SUM(N6:N12)</f>
        <v>1072.4939163829029</v>
      </c>
      <c r="O5" s="18">
        <f>B38*B39*B40</f>
        <v>0</v>
      </c>
      <c r="P5" s="18">
        <f>B46*B47*B48/1000-B46*B47*B48/1000/B49</f>
        <v>0</v>
      </c>
      <c r="R5" s="33"/>
    </row>
    <row r="6" spans="1:18">
      <c r="A6" s="33" t="s">
        <v>53</v>
      </c>
      <c r="B6" s="38">
        <f>B26</f>
        <v>3937.2827050779201</v>
      </c>
      <c r="C6" s="34"/>
      <c r="D6" s="38">
        <f>IF(ISERROR(TER_kantoor_gas_kWh/1000),0,TER_kantoor_gas_kWh/1000)*0.902</f>
        <v>4006.1792763343442</v>
      </c>
      <c r="E6" s="34">
        <f>$C$26*'E Balans VL '!I12/100/3.6*1000000</f>
        <v>6.4618789111477897</v>
      </c>
      <c r="F6" s="34">
        <f>$C$26*('E Balans VL '!L12+'E Balans VL '!N12)/100/3.6*1000000</f>
        <v>464.11299169736748</v>
      </c>
      <c r="G6" s="35"/>
      <c r="H6" s="34"/>
      <c r="I6" s="34"/>
      <c r="J6" s="34">
        <f>$C$26*('E Balans VL '!D12+'E Balans VL '!E12)/100/3.6*1000000</f>
        <v>0</v>
      </c>
      <c r="K6" s="34"/>
      <c r="L6" s="34"/>
      <c r="M6" s="34"/>
      <c r="N6" s="34">
        <f>$C$26*'E Balans VL '!Y12/100/3.6*1000000</f>
        <v>0.79550932600100366</v>
      </c>
      <c r="O6" s="34"/>
      <c r="P6" s="34"/>
      <c r="R6" s="33"/>
    </row>
    <row r="7" spans="1:18">
      <c r="A7" s="33" t="s">
        <v>52</v>
      </c>
      <c r="B7" s="38">
        <f t="shared" ref="B7:B12" si="0">B27</f>
        <v>1130.29842138237</v>
      </c>
      <c r="C7" s="34"/>
      <c r="D7" s="38">
        <f>IF(ISERROR(TER_horeca_gas_kWh/1000),0,TER_horeca_gas_kWh/1000)*0.902</f>
        <v>1824.0050732956381</v>
      </c>
      <c r="E7" s="34">
        <f>$C$27*'E Balans VL '!I9/100/3.6*1000000</f>
        <v>58.654309055343489</v>
      </c>
      <c r="F7" s="34">
        <f>$C$27*('E Balans VL '!L9+'E Balans VL '!N9)/100/3.6*1000000</f>
        <v>257.93491990805614</v>
      </c>
      <c r="G7" s="35"/>
      <c r="H7" s="34"/>
      <c r="I7" s="34"/>
      <c r="J7" s="34">
        <f>$C$27*('E Balans VL '!D9+'E Balans VL '!E9)/100/3.6*1000000</f>
        <v>0</v>
      </c>
      <c r="K7" s="34"/>
      <c r="L7" s="34"/>
      <c r="M7" s="34"/>
      <c r="N7" s="34">
        <f>$C$27*'E Balans VL '!Y9/100/3.6*1000000</f>
        <v>0.11935899531612845</v>
      </c>
      <c r="O7" s="34"/>
      <c r="P7" s="34"/>
      <c r="R7" s="33"/>
    </row>
    <row r="8" spans="1:18">
      <c r="A8" s="6" t="s">
        <v>51</v>
      </c>
      <c r="B8" s="38">
        <f t="shared" si="0"/>
        <v>4896.0659858716799</v>
      </c>
      <c r="C8" s="34"/>
      <c r="D8" s="38">
        <f>IF(ISERROR(TER_handel_gas_kWh/1000),0,TER_handel_gas_kWh/1000)*0.902</f>
        <v>5611.5261106310118</v>
      </c>
      <c r="E8" s="34">
        <f>$C$28*'E Balans VL '!I13/100/3.6*1000000</f>
        <v>26.365916980463368</v>
      </c>
      <c r="F8" s="34">
        <f>$C$28*('E Balans VL '!L13+'E Balans VL '!N13)/100/3.6*1000000</f>
        <v>998.45335249580364</v>
      </c>
      <c r="G8" s="35"/>
      <c r="H8" s="34"/>
      <c r="I8" s="34"/>
      <c r="J8" s="34">
        <f>$C$28*('E Balans VL '!D13+'E Balans VL '!E13)/100/3.6*1000000</f>
        <v>0</v>
      </c>
      <c r="K8" s="34"/>
      <c r="L8" s="34"/>
      <c r="M8" s="34"/>
      <c r="N8" s="34">
        <f>$C$28*'E Balans VL '!Y13/100/3.6*1000000</f>
        <v>24.345550609369898</v>
      </c>
      <c r="O8" s="34"/>
      <c r="P8" s="34"/>
      <c r="R8" s="33"/>
    </row>
    <row r="9" spans="1:18">
      <c r="A9" s="33" t="s">
        <v>50</v>
      </c>
      <c r="B9" s="38">
        <f t="shared" si="0"/>
        <v>140.21407072944498</v>
      </c>
      <c r="C9" s="34"/>
      <c r="D9" s="38">
        <f>IF(ISERROR(TER_gezond_gas_kWh/1000),0,TER_gezond_gas_kWh/1000)*0.902</f>
        <v>370.63571613400507</v>
      </c>
      <c r="E9" s="34">
        <f>$C$29*'E Balans VL '!I10/100/3.6*1000000</f>
        <v>0.13895373860069327</v>
      </c>
      <c r="F9" s="34">
        <f>$C$29*('E Balans VL '!L10+'E Balans VL '!N10)/100/3.6*1000000</f>
        <v>48.650241027578772</v>
      </c>
      <c r="G9" s="35"/>
      <c r="H9" s="34"/>
      <c r="I9" s="34"/>
      <c r="J9" s="34">
        <f>$C$29*('E Balans VL '!D10+'E Balans VL '!E10)/100/3.6*1000000</f>
        <v>0</v>
      </c>
      <c r="K9" s="34"/>
      <c r="L9" s="34"/>
      <c r="M9" s="34"/>
      <c r="N9" s="34">
        <f>$C$29*'E Balans VL '!Y10/100/3.6*1000000</f>
        <v>1.2082125007889151</v>
      </c>
      <c r="O9" s="34"/>
      <c r="P9" s="34"/>
      <c r="R9" s="33"/>
    </row>
    <row r="10" spans="1:18">
      <c r="A10" s="33" t="s">
        <v>49</v>
      </c>
      <c r="B10" s="38">
        <f t="shared" si="0"/>
        <v>1638.0906726386199</v>
      </c>
      <c r="C10" s="34"/>
      <c r="D10" s="38">
        <f>IF(ISERROR(TER_ander_gas_kWh/1000),0,TER_ander_gas_kWh/1000)*0.902</f>
        <v>4581.749125576499</v>
      </c>
      <c r="E10" s="34">
        <f>$C$30*'E Balans VL '!I14/100/3.6*1000000</f>
        <v>13.401218857216572</v>
      </c>
      <c r="F10" s="34">
        <f>$C$30*('E Balans VL '!L14+'E Balans VL '!N14)/100/3.6*1000000</f>
        <v>478.91102324620641</v>
      </c>
      <c r="G10" s="35"/>
      <c r="H10" s="34"/>
      <c r="I10" s="34"/>
      <c r="J10" s="34">
        <f>$C$30*('E Balans VL '!D14+'E Balans VL '!E14)/100/3.6*1000000</f>
        <v>0</v>
      </c>
      <c r="K10" s="34"/>
      <c r="L10" s="34"/>
      <c r="M10" s="34"/>
      <c r="N10" s="34">
        <f>$C$30*'E Balans VL '!Y14/100/3.6*1000000</f>
        <v>944.96338245536765</v>
      </c>
      <c r="O10" s="34"/>
      <c r="P10" s="34"/>
      <c r="R10" s="33"/>
    </row>
    <row r="11" spans="1:18">
      <c r="A11" s="33" t="s">
        <v>54</v>
      </c>
      <c r="B11" s="38">
        <f t="shared" si="0"/>
        <v>145.35565116226698</v>
      </c>
      <c r="C11" s="34"/>
      <c r="D11" s="38">
        <f>IF(ISERROR(TER_onderwijs_gas_kWh/1000),0,TER_onderwijs_gas_kWh/1000)*0.902</f>
        <v>343.3917992166671</v>
      </c>
      <c r="E11" s="34">
        <f>$C$31*'E Balans VL '!I11/100/3.6*1000000</f>
        <v>8.9591090212587168E-2</v>
      </c>
      <c r="F11" s="34">
        <f>$C$31*('E Balans VL '!L11+'E Balans VL '!N11)/100/3.6*1000000</f>
        <v>56.196848726036031</v>
      </c>
      <c r="G11" s="35"/>
      <c r="H11" s="34"/>
      <c r="I11" s="34"/>
      <c r="J11" s="34">
        <f>$C$31*('E Balans VL '!D11+'E Balans VL '!E11)/100/3.6*1000000</f>
        <v>0</v>
      </c>
      <c r="K11" s="34"/>
      <c r="L11" s="34"/>
      <c r="M11" s="34"/>
      <c r="N11" s="34">
        <f>$C$31*'E Balans VL '!Y11/100/3.6*1000000</f>
        <v>0.47281078417988753</v>
      </c>
      <c r="O11" s="34"/>
      <c r="P11" s="34"/>
      <c r="R11" s="33"/>
    </row>
    <row r="12" spans="1:18">
      <c r="A12" s="33" t="s">
        <v>255</v>
      </c>
      <c r="B12" s="38">
        <f t="shared" si="0"/>
        <v>1529.3395612459599</v>
      </c>
      <c r="C12" s="34"/>
      <c r="D12" s="38">
        <f>IF(ISERROR(TER_rest_gas_kWh/1000),0,TER_rest_gas_kWh/1000)*0.902</f>
        <v>4126.6504481024785</v>
      </c>
      <c r="E12" s="34">
        <f>$C$32*'E Balans VL '!I8/100/3.6*1000000</f>
        <v>13.214014842430815</v>
      </c>
      <c r="F12" s="34">
        <f>$C$32*('E Balans VL '!L8+'E Balans VL '!N8)/100/3.6*1000000</f>
        <v>304.62511828311688</v>
      </c>
      <c r="G12" s="35"/>
      <c r="H12" s="34"/>
      <c r="I12" s="34"/>
      <c r="J12" s="34">
        <f>$C$32*('E Balans VL '!D8+'E Balans VL '!E8)/100/3.6*1000000</f>
        <v>0</v>
      </c>
      <c r="K12" s="34"/>
      <c r="L12" s="34"/>
      <c r="M12" s="34"/>
      <c r="N12" s="34">
        <f>$C$32*'E Balans VL '!Y8/100/3.6*1000000</f>
        <v>100.58909171187941</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13416.647068108261</v>
      </c>
      <c r="C16" s="22">
        <f t="shared" ca="1" si="1"/>
        <v>0</v>
      </c>
      <c r="D16" s="22">
        <f t="shared" ca="1" si="1"/>
        <v>20864.137549290645</v>
      </c>
      <c r="E16" s="22">
        <f t="shared" si="1"/>
        <v>118.32588347541532</v>
      </c>
      <c r="F16" s="22">
        <f t="shared" ca="1" si="1"/>
        <v>2608.8844953841653</v>
      </c>
      <c r="G16" s="22">
        <f t="shared" si="1"/>
        <v>0</v>
      </c>
      <c r="H16" s="22">
        <f t="shared" si="1"/>
        <v>0</v>
      </c>
      <c r="I16" s="22">
        <f t="shared" si="1"/>
        <v>0</v>
      </c>
      <c r="J16" s="22">
        <f t="shared" si="1"/>
        <v>0</v>
      </c>
      <c r="K16" s="22">
        <f t="shared" si="1"/>
        <v>0</v>
      </c>
      <c r="L16" s="22">
        <f t="shared" ca="1" si="1"/>
        <v>0</v>
      </c>
      <c r="M16" s="22">
        <f t="shared" si="1"/>
        <v>0</v>
      </c>
      <c r="N16" s="22">
        <f t="shared" ca="1" si="1"/>
        <v>1072.4939163829029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0.195896047324044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2628.2681289841321</v>
      </c>
      <c r="C20" s="24">
        <f t="shared" ref="C20:P20" ca="1" si="2">C16*C18</f>
        <v>0</v>
      </c>
      <c r="D20" s="24">
        <f t="shared" ca="1" si="2"/>
        <v>4214.5557849567103</v>
      </c>
      <c r="E20" s="24">
        <f t="shared" si="2"/>
        <v>26.85997554891928</v>
      </c>
      <c r="F20" s="24">
        <f t="shared" ca="1" si="2"/>
        <v>696.57216026757214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3937.2827050779201</v>
      </c>
      <c r="C26" s="40">
        <f>IF(ISERROR(B26*3.6/1000000/'E Balans VL '!Z12*100),0,B26*3.6/1000000/'E Balans VL '!Z12*100)</f>
        <v>8.3664433935250165E-2</v>
      </c>
      <c r="D26" s="236" t="s">
        <v>691</v>
      </c>
      <c r="F26" s="6"/>
    </row>
    <row r="27" spans="1:18">
      <c r="A27" s="231" t="s">
        <v>52</v>
      </c>
      <c r="B27" s="34">
        <f>IF(ISERROR(TER_horeca_ele_kWh/1000),0,TER_horeca_ele_kWh/1000)</f>
        <v>1130.29842138237</v>
      </c>
      <c r="C27" s="40">
        <f>IF(ISERROR(B27*3.6/1000000/'E Balans VL '!Z9*100),0,B27*3.6/1000000/'E Balans VL '!Z9*100)</f>
        <v>8.8963226322580233E-2</v>
      </c>
      <c r="D27" s="236" t="s">
        <v>691</v>
      </c>
      <c r="F27" s="6"/>
    </row>
    <row r="28" spans="1:18">
      <c r="A28" s="171" t="s">
        <v>51</v>
      </c>
      <c r="B28" s="34">
        <f>IF(ISERROR(TER_handel_ele_kWh/1000),0,TER_handel_ele_kWh/1000)</f>
        <v>4896.0659858716799</v>
      </c>
      <c r="C28" s="40">
        <f>IF(ISERROR(B28*3.6/1000000/'E Balans VL '!Z13*100),0,B28*3.6/1000000/'E Balans VL '!Z13*100)</f>
        <v>0.13714142853533384</v>
      </c>
      <c r="D28" s="236" t="s">
        <v>691</v>
      </c>
      <c r="F28" s="6"/>
    </row>
    <row r="29" spans="1:18">
      <c r="A29" s="231" t="s">
        <v>50</v>
      </c>
      <c r="B29" s="34">
        <f>IF(ISERROR(TER_gezond_ele_kWh/1000),0,TER_gezond_ele_kWh/1000)</f>
        <v>140.21407072944498</v>
      </c>
      <c r="C29" s="40">
        <f>IF(ISERROR(B29*3.6/1000000/'E Balans VL '!Z10*100),0,B29*3.6/1000000/'E Balans VL '!Z10*100)</f>
        <v>1.7937619549035368E-2</v>
      </c>
      <c r="D29" s="236" t="s">
        <v>691</v>
      </c>
      <c r="F29" s="6"/>
    </row>
    <row r="30" spans="1:18">
      <c r="A30" s="231" t="s">
        <v>49</v>
      </c>
      <c r="B30" s="34">
        <f>IF(ISERROR(TER_ander_ele_kWh/1000),0,TER_ander_ele_kWh/1000)</f>
        <v>1638.0906726386199</v>
      </c>
      <c r="C30" s="40">
        <f>IF(ISERROR(B30*3.6/1000000/'E Balans VL '!Z14*100),0,B30*3.6/1000000/'E Balans VL '!Z14*100)</f>
        <v>0.12251537952024148</v>
      </c>
      <c r="D30" s="236" t="s">
        <v>691</v>
      </c>
      <c r="F30" s="6"/>
    </row>
    <row r="31" spans="1:18">
      <c r="A31" s="231" t="s">
        <v>54</v>
      </c>
      <c r="B31" s="34">
        <f>IF(ISERROR(TER_onderwijs_ele_kWh/1000),0,TER_onderwijs_ele_kWh/1000)</f>
        <v>145.35565116226698</v>
      </c>
      <c r="C31" s="40">
        <f>IF(ISERROR(B31*3.6/1000000/'E Balans VL '!Z11*100),0,B31*3.6/1000000/'E Balans VL '!Z11*100)</f>
        <v>3.0692034026607435E-2</v>
      </c>
      <c r="D31" s="236" t="s">
        <v>691</v>
      </c>
    </row>
    <row r="32" spans="1:18">
      <c r="A32" s="231" t="s">
        <v>255</v>
      </c>
      <c r="B32" s="34">
        <f>IF(ISERROR(TER_rest_ele_kWh/1000),0,TER_rest_ele_kWh/1000)</f>
        <v>1529.3395612459599</v>
      </c>
      <c r="C32" s="40">
        <f>IF(ISERROR(B32*3.6/1000000/'E Balans VL '!Z8*100),0,B32*3.6/1000000/'E Balans VL '!Z8*100)</f>
        <v>1.2598595410533524E-2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7470.7130105623928</v>
      </c>
      <c r="C5" s="18">
        <f>IF(ISERROR('Eigen informatie GS &amp; warmtenet'!B59),0,'Eigen informatie GS &amp; warmtenet'!B59)</f>
        <v>0</v>
      </c>
      <c r="D5" s="31">
        <f>SUM(D6:D15)</f>
        <v>7062.3555100597041</v>
      </c>
      <c r="E5" s="18">
        <f>SUM(E6:E15)</f>
        <v>59.329833259233823</v>
      </c>
      <c r="F5" s="18">
        <f>SUM(F6:F15)</f>
        <v>3049.3512925303166</v>
      </c>
      <c r="G5" s="19"/>
      <c r="H5" s="18"/>
      <c r="I5" s="18"/>
      <c r="J5" s="18">
        <f>SUM(J6:J15)</f>
        <v>19.084592858091348</v>
      </c>
      <c r="K5" s="18"/>
      <c r="L5" s="18"/>
      <c r="M5" s="18"/>
      <c r="N5" s="18">
        <f>SUM(N6:N15)</f>
        <v>316.72667436846393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557.93653414706193</v>
      </c>
      <c r="C8" s="34"/>
      <c r="D8" s="38">
        <f>IF( ISERROR(IND_metaal_Gas_kWH/1000),0,IND_metaal_Gas_kWH/1000)*0.902</f>
        <v>164.06598970317199</v>
      </c>
      <c r="E8" s="34">
        <f>C30*'E Balans VL '!I18/100/3.6*1000000</f>
        <v>5.0810274694208504</v>
      </c>
      <c r="F8" s="34">
        <f>C30*'E Balans VL '!L18/100/3.6*1000000+C30*'E Balans VL '!N18/100/3.6*1000000</f>
        <v>73.587591811183671</v>
      </c>
      <c r="G8" s="35"/>
      <c r="H8" s="34"/>
      <c r="I8" s="34"/>
      <c r="J8" s="41">
        <f>C30*'E Balans VL '!D18/100/3.6*1000000+C30*'E Balans VL '!E18/100/3.6*1000000</f>
        <v>9.1493490653348708</v>
      </c>
      <c r="K8" s="34"/>
      <c r="L8" s="34"/>
      <c r="M8" s="34"/>
      <c r="N8" s="34">
        <f>C30*'E Balans VL '!Y18/100/3.6*1000000</f>
        <v>1.9174062281438107</v>
      </c>
      <c r="O8" s="34"/>
      <c r="P8" s="34"/>
      <c r="R8" s="33"/>
    </row>
    <row r="9" spans="1:18">
      <c r="A9" s="6" t="s">
        <v>32</v>
      </c>
      <c r="B9" s="38">
        <f t="shared" si="0"/>
        <v>2985.22071515586</v>
      </c>
      <c r="C9" s="34"/>
      <c r="D9" s="38">
        <f>IF( ISERROR(IND_andere_gas_kWh/1000),0,IND_andere_gas_kWh/1000)*0.902</f>
        <v>1827.3475966342967</v>
      </c>
      <c r="E9" s="34">
        <f>C31*'E Balans VL '!I19/100/3.6*1000000</f>
        <v>17.255021837938127</v>
      </c>
      <c r="F9" s="34">
        <f>C31*'E Balans VL '!L19/100/3.6*1000000+C31*'E Balans VL '!N19/100/3.6*1000000</f>
        <v>2374.8867220431321</v>
      </c>
      <c r="G9" s="35"/>
      <c r="H9" s="34"/>
      <c r="I9" s="34"/>
      <c r="J9" s="41">
        <f>C31*'E Balans VL '!D19/100/3.6*1000000+C31*'E Balans VL '!E19/100/3.6*1000000</f>
        <v>0.28236872076122616</v>
      </c>
      <c r="K9" s="34"/>
      <c r="L9" s="34"/>
      <c r="M9" s="34"/>
      <c r="N9" s="34">
        <f>C31*'E Balans VL '!Y19/100/3.6*1000000</f>
        <v>226.1756454353494</v>
      </c>
      <c r="O9" s="34"/>
      <c r="P9" s="34"/>
      <c r="R9" s="33"/>
    </row>
    <row r="10" spans="1:18">
      <c r="A10" s="6" t="s">
        <v>40</v>
      </c>
      <c r="B10" s="38">
        <f t="shared" si="0"/>
        <v>2009.6009633358101</v>
      </c>
      <c r="C10" s="34"/>
      <c r="D10" s="38">
        <f>IF( ISERROR(IND_voed_gas_kWh/1000),0,IND_voed_gas_kWh/1000)*0.902</f>
        <v>1756.0898493971654</v>
      </c>
      <c r="E10" s="34">
        <f>C32*'E Balans VL '!I20/100/3.6*1000000</f>
        <v>19.759634889793283</v>
      </c>
      <c r="F10" s="34">
        <f>C32*'E Balans VL '!L20/100/3.6*1000000+C32*'E Balans VL '!N20/100/3.6*1000000</f>
        <v>223.19241758518513</v>
      </c>
      <c r="G10" s="35"/>
      <c r="H10" s="34"/>
      <c r="I10" s="34"/>
      <c r="J10" s="41">
        <f>C32*'E Balans VL '!D20/100/3.6*1000000+C32*'E Balans VL '!E20/100/3.6*1000000</f>
        <v>7.9207497004483516E-3</v>
      </c>
      <c r="K10" s="34"/>
      <c r="L10" s="34"/>
      <c r="M10" s="34"/>
      <c r="N10" s="34">
        <f>C32*'E Balans VL '!Y20/100/3.6*1000000</f>
        <v>29.757463187266847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1917.95479792366</v>
      </c>
      <c r="C15" s="34"/>
      <c r="D15" s="38">
        <f>IF( ISERROR(IND_rest_gas_kWh/1000),0,IND_rest_gas_kWh/1000)*0.902</f>
        <v>3314.8520743250701</v>
      </c>
      <c r="E15" s="34">
        <f>C37*'E Balans VL '!I15/100/3.6*1000000</f>
        <v>17.234149062081563</v>
      </c>
      <c r="F15" s="34">
        <f>C37*'E Balans VL '!L15/100/3.6*1000000+C37*'E Balans VL '!N15/100/3.6*1000000</f>
        <v>377.68456109081598</v>
      </c>
      <c r="G15" s="35"/>
      <c r="H15" s="34"/>
      <c r="I15" s="34"/>
      <c r="J15" s="41">
        <f>C37*'E Balans VL '!D15/100/3.6*1000000+C37*'E Balans VL '!E15/100/3.6*1000000</f>
        <v>9.6449543222948044</v>
      </c>
      <c r="K15" s="34"/>
      <c r="L15" s="34"/>
      <c r="M15" s="34"/>
      <c r="N15" s="34">
        <f>C37*'E Balans VL '!Y15/100/3.6*1000000</f>
        <v>58.876159517703854</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7470.7130105623928</v>
      </c>
      <c r="C18" s="22">
        <f>C5+C16</f>
        <v>0</v>
      </c>
      <c r="D18" s="22">
        <f>MAX((D5+D16),0)</f>
        <v>7062.3555100597041</v>
      </c>
      <c r="E18" s="22">
        <f>MAX((E5+E16),0)</f>
        <v>59.329833259233823</v>
      </c>
      <c r="F18" s="22">
        <f>MAX((F5+F16),0)</f>
        <v>3049.3512925303166</v>
      </c>
      <c r="G18" s="22"/>
      <c r="H18" s="22"/>
      <c r="I18" s="22"/>
      <c r="J18" s="22">
        <f>MAX((J5+J16),0)</f>
        <v>19.084592858091348</v>
      </c>
      <c r="K18" s="22"/>
      <c r="L18" s="22">
        <f>MAX((L5+L16),0)</f>
        <v>0</v>
      </c>
      <c r="M18" s="22"/>
      <c r="N18" s="22">
        <f>MAX((N5+N16),0)</f>
        <v>316.72667436846393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0.195896047324044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1463.4831494614818</v>
      </c>
      <c r="C22" s="24">
        <f ca="1">C18*C20</f>
        <v>0</v>
      </c>
      <c r="D22" s="24">
        <f>D18*D20</f>
        <v>1426.5958130320603</v>
      </c>
      <c r="E22" s="24">
        <f>E18*E20</f>
        <v>13.467872149846078</v>
      </c>
      <c r="F22" s="24">
        <f>F18*F20</f>
        <v>814.17679510559458</v>
      </c>
      <c r="G22" s="24"/>
      <c r="H22" s="24"/>
      <c r="I22" s="24"/>
      <c r="J22" s="24">
        <f>J18*J20</f>
        <v>6.7559458717643368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557.93653414706193</v>
      </c>
      <c r="C30" s="40">
        <f>IF(ISERROR(B30*3.6/1000000/'E Balans VL '!Z18*100),0,B30*3.6/1000000/'E Balans VL '!Z18*100)</f>
        <v>3.1045437235690219E-2</v>
      </c>
      <c r="D30" s="236" t="s">
        <v>691</v>
      </c>
    </row>
    <row r="31" spans="1:18">
      <c r="A31" s="6" t="s">
        <v>32</v>
      </c>
      <c r="B31" s="38">
        <f>IF( ISERROR(IND_ander_ele_kWh/1000),0,IND_ander_ele_kWh/1000)</f>
        <v>2985.22071515586</v>
      </c>
      <c r="C31" s="40">
        <f>IF(ISERROR(B31*3.6/1000000/'E Balans VL '!Z19*100),0,B31*3.6/1000000/'E Balans VL '!Z19*100)</f>
        <v>0.13877507095432276</v>
      </c>
      <c r="D31" s="236" t="s">
        <v>691</v>
      </c>
    </row>
    <row r="32" spans="1:18">
      <c r="A32" s="171" t="s">
        <v>40</v>
      </c>
      <c r="B32" s="38">
        <f>IF( ISERROR(IND_voed_ele_kWh/1000),0,IND_voed_ele_kWh/1000)</f>
        <v>2009.6009633358101</v>
      </c>
      <c r="C32" s="40">
        <f>IF(ISERROR(B32*3.6/1000000/'E Balans VL '!Z20*100),0,B32*3.6/1000000/'E Balans VL '!Z20*100)</f>
        <v>7.1035335492893592E-2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1917.95479792366</v>
      </c>
      <c r="C37" s="40">
        <f>IF(ISERROR(B37*3.6/1000000/'E Balans VL '!Z15*100),0,B37*3.6/1000000/'E Balans VL '!Z15*100)</f>
        <v>1.4483391971989622E-2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4388.1187240548452</v>
      </c>
      <c r="C5" s="18">
        <f>'Eigen informatie GS &amp; warmtenet'!B60</f>
        <v>0</v>
      </c>
      <c r="D5" s="31">
        <f>IF(ISERROR(SUM(LB_lb_gas_kWh,LB_rest_gas_kWh)/1000),0,SUM(LB_lb_gas_kWh,LB_rest_gas_kWh)/1000)*0.902</f>
        <v>22730.280920745106</v>
      </c>
      <c r="E5" s="18">
        <f>B17*'E Balans VL '!I25/3.6*1000000/100</f>
        <v>41.339018516587331</v>
      </c>
      <c r="F5" s="18">
        <f>B17*('E Balans VL '!L25/3.6*1000000+'E Balans VL '!N25/3.6*1000000)/100</f>
        <v>14319.887685299449</v>
      </c>
      <c r="G5" s="19"/>
      <c r="H5" s="18"/>
      <c r="I5" s="18"/>
      <c r="J5" s="18">
        <f>('E Balans VL '!D25+'E Balans VL '!E25)/3.6*1000000*landbouw!B17/100</f>
        <v>542.83162997095826</v>
      </c>
      <c r="K5" s="18"/>
      <c r="L5" s="18">
        <f>L6*(-1)</f>
        <v>0</v>
      </c>
      <c r="M5" s="18"/>
      <c r="N5" s="18">
        <f>N6*(-1)</f>
        <v>0</v>
      </c>
      <c r="O5" s="18"/>
      <c r="P5" s="18"/>
      <c r="R5" s="33"/>
    </row>
    <row r="6" spans="1:18">
      <c r="A6" s="17" t="s">
        <v>495</v>
      </c>
      <c r="B6" s="18" t="s">
        <v>210</v>
      </c>
      <c r="C6" s="18">
        <f>'lokale energieproductie'!O40+'lokale energieproductie'!O33</f>
        <v>43200</v>
      </c>
      <c r="D6" s="305">
        <f>('lokale energieproductie'!P33+'lokale energieproductie'!P40)*(-1)</f>
        <v>-86400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4388.1187240548452</v>
      </c>
      <c r="C8" s="22">
        <f>C5+C6</f>
        <v>43200</v>
      </c>
      <c r="D8" s="22">
        <f>MAX((D5+D6),0)</f>
        <v>0</v>
      </c>
      <c r="E8" s="22">
        <f>MAX((E5+E6),0)</f>
        <v>41.339018516587331</v>
      </c>
      <c r="F8" s="22">
        <f>MAX((F5+F6),0)</f>
        <v>14319.887685299449</v>
      </c>
      <c r="G8" s="22"/>
      <c r="H8" s="22"/>
      <c r="I8" s="22"/>
      <c r="J8" s="22">
        <f>MAX((J5+J6),0)</f>
        <v>542.83162997095826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0.195896047324044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859.61511323097159</v>
      </c>
      <c r="C12" s="24">
        <f ca="1">C8*C10</f>
        <v>10266.352941176472</v>
      </c>
      <c r="D12" s="24">
        <f>D8*D10</f>
        <v>0</v>
      </c>
      <c r="E12" s="24">
        <f>E8*E10</f>
        <v>9.3839572032653251</v>
      </c>
      <c r="F12" s="24">
        <f>F8*F10</f>
        <v>3823.4100119749532</v>
      </c>
      <c r="G12" s="24"/>
      <c r="H12" s="24"/>
      <c r="I12" s="24"/>
      <c r="J12" s="24">
        <f>J8*J10</f>
        <v>192.1623970097192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0.59408115534133621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346.48423517915523</v>
      </c>
      <c r="C26" s="246">
        <f>B26*'GWP N2O_CH4'!B5</f>
        <v>7276.16893876226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214.623705280422</v>
      </c>
      <c r="C27" s="246">
        <f>B27*'GWP N2O_CH4'!B5</f>
        <v>4507.0978108888621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6.1458078368565632</v>
      </c>
      <c r="C28" s="246">
        <f>B28*'GWP N2O_CH4'!B4</f>
        <v>1905.2004294255346</v>
      </c>
      <c r="D28" s="51"/>
    </row>
    <row r="29" spans="1:4">
      <c r="A29" s="42" t="s">
        <v>272</v>
      </c>
      <c r="B29" s="246">
        <f>B34*'ha_N2O bodem landbouw'!B4</f>
        <v>19.998712961113331</v>
      </c>
      <c r="C29" s="246">
        <f>B29*'GWP N2O_CH4'!B4</f>
        <v>6199.6010179451323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5.3990229346801604E-3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2.4662985615703926E-5</v>
      </c>
      <c r="C5" s="435" t="s">
        <v>210</v>
      </c>
      <c r="D5" s="420">
        <f>SUM(D6:D11)</f>
        <v>3.2362983758293197E-5</v>
      </c>
      <c r="E5" s="420">
        <f>SUM(E6:E11)</f>
        <v>2.2356769459042042E-3</v>
      </c>
      <c r="F5" s="433" t="s">
        <v>210</v>
      </c>
      <c r="G5" s="420">
        <f>SUM(G6:G11)</f>
        <v>0.57419114929728554</v>
      </c>
      <c r="H5" s="420">
        <f>SUM(H6:H11)</f>
        <v>7.8843755372548854E-2</v>
      </c>
      <c r="I5" s="435" t="s">
        <v>210</v>
      </c>
      <c r="J5" s="435" t="s">
        <v>210</v>
      </c>
      <c r="K5" s="435" t="s">
        <v>210</v>
      </c>
      <c r="L5" s="435" t="s">
        <v>210</v>
      </c>
      <c r="M5" s="420">
        <f>SUM(M6:M11)</f>
        <v>2.9160469287459023E-2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3.7595576708899834E-6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4.3786871638157709E-6</v>
      </c>
      <c r="E6" s="423">
        <f>vkm_GW_PW*SUMIFS(TableVerdeelsleutelVkm[LPG],TableVerdeelsleutelVkm[Voertuigtype],"Lichte voertuigen")*SUMIFS(TableECFTransport[EnergieConsumptieFactor (PJ per km)],TableECFTransport[Index],CONCATENATE($A6,"_LPG_LPG"))</f>
        <v>2.8407797124822837E-4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4.432150445562847E-2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1.0681475561411486E-2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2.4613869378129105E-3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1.9605587683687768E-7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3.2431968756392204E-2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8.7026529099352977E-7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1.4431168106104348E-3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8.0518211432254131E-6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1.5315949253272247E-5</v>
      </c>
      <c r="E8" s="423">
        <f>vkm_NGW_PW*SUMIFS(TableVerdeelsleutelVkm[LPG],TableVerdeelsleutelVkm[Voertuigtype],"Lichte voertuigen")*SUMIFS(TableECFTransport[EnergieConsumptieFactor (PJ per km)],TableECFTransport[Index],CONCATENATE($A8,"_LPG_LPG"))</f>
        <v>9.4145548428640016E-4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0.13827887408639161</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3.5615068212385137E-2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7.7841839334594426E-3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1.9019233655265458E-7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4.0345164138949542E-2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1.019016597962501E-6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1.7952252781064523E-3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1.1358181090441071E-5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1.2668347341205175E-5</v>
      </c>
      <c r="E10" s="423">
        <f>vkm_SW_PW*SUMIFS(TableVerdeelsleutelVkm[LPG],TableVerdeelsleutelVkm[Voertuigtype],"Lichte voertuigen")*SUMIFS(TableECFTransport[EnergieConsumptieFactor (PJ per km)],TableECFTransport[Index],CONCATENATE($A10,"_LPG_LPG"))</f>
        <v>1.0101434903695757E-3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0.14725260817522268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3.2540263843262696E-2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8.0426293337743406E-3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1.1071774977579253E-6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0.17156102968470099</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5.0584736005727322E-6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7.6339269936954455E-3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6.8508293376955347</v>
      </c>
      <c r="C14" s="22"/>
      <c r="D14" s="22">
        <f t="shared" ref="D14:M14" si="0">((D5)*10^9/3600)+D12</f>
        <v>8.9897177106369988</v>
      </c>
      <c r="E14" s="22">
        <f t="shared" si="0"/>
        <v>621.02137386227889</v>
      </c>
      <c r="F14" s="22"/>
      <c r="G14" s="22">
        <f t="shared" si="0"/>
        <v>159497.5414714682</v>
      </c>
      <c r="H14" s="22">
        <f t="shared" si="0"/>
        <v>21901.043159041346</v>
      </c>
      <c r="I14" s="22"/>
      <c r="J14" s="22"/>
      <c r="K14" s="22"/>
      <c r="L14" s="22"/>
      <c r="M14" s="22">
        <f t="shared" si="0"/>
        <v>8100.1303576275068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0.195896047324044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1.3420503881461534</v>
      </c>
      <c r="C18" s="24"/>
      <c r="D18" s="24">
        <f t="shared" ref="D18:M18" si="1">D14*D16</f>
        <v>1.8159229775486738</v>
      </c>
      <c r="E18" s="24">
        <f t="shared" si="1"/>
        <v>140.97185186673732</v>
      </c>
      <c r="F18" s="24"/>
      <c r="G18" s="24">
        <f t="shared" si="1"/>
        <v>42585.843572882011</v>
      </c>
      <c r="H18" s="24">
        <f t="shared" si="1"/>
        <v>5453.3597466012952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3.5459279482335231E-5</v>
      </c>
      <c r="C50" s="316">
        <f t="shared" ref="C50:P50" si="2">SUM(C51:C52)</f>
        <v>0</v>
      </c>
      <c r="D50" s="316">
        <f t="shared" si="2"/>
        <v>0</v>
      </c>
      <c r="E50" s="316">
        <f t="shared" si="2"/>
        <v>0</v>
      </c>
      <c r="F50" s="316">
        <f t="shared" si="2"/>
        <v>0</v>
      </c>
      <c r="G50" s="316">
        <f t="shared" si="2"/>
        <v>7.0724232030384519E-3</v>
      </c>
      <c r="H50" s="316">
        <f t="shared" si="2"/>
        <v>0</v>
      </c>
      <c r="I50" s="316">
        <f t="shared" si="2"/>
        <v>0</v>
      </c>
      <c r="J50" s="316">
        <f t="shared" si="2"/>
        <v>0</v>
      </c>
      <c r="K50" s="316">
        <f t="shared" si="2"/>
        <v>0</v>
      </c>
      <c r="L50" s="316">
        <f t="shared" si="2"/>
        <v>0</v>
      </c>
      <c r="M50" s="316">
        <f t="shared" si="2"/>
        <v>3.12593573020759E-4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3.5459279482335231E-5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7.0724232030384519E-3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3.12593573020759E-4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9.8497998562042302</v>
      </c>
      <c r="C54" s="22">
        <f t="shared" ref="C54:P54" si="3">(C50)*10^9/3600</f>
        <v>0</v>
      </c>
      <c r="D54" s="22">
        <f t="shared" si="3"/>
        <v>0</v>
      </c>
      <c r="E54" s="22">
        <f t="shared" si="3"/>
        <v>0</v>
      </c>
      <c r="F54" s="22">
        <f t="shared" si="3"/>
        <v>0</v>
      </c>
      <c r="G54" s="22">
        <f t="shared" si="3"/>
        <v>1964.5620008440144</v>
      </c>
      <c r="H54" s="22">
        <f t="shared" si="3"/>
        <v>0</v>
      </c>
      <c r="I54" s="22">
        <f t="shared" si="3"/>
        <v>0</v>
      </c>
      <c r="J54" s="22">
        <f t="shared" si="3"/>
        <v>0</v>
      </c>
      <c r="K54" s="22">
        <f t="shared" si="3"/>
        <v>0</v>
      </c>
      <c r="L54" s="22">
        <f t="shared" si="3"/>
        <v>0</v>
      </c>
      <c r="M54" s="22">
        <f t="shared" si="3"/>
        <v>86.831548061321939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0.195896047324044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1.9295368587633457</v>
      </c>
      <c r="C58" s="24">
        <f t="shared" ref="C58:P58" ca="1" si="4">C54*C56</f>
        <v>0</v>
      </c>
      <c r="D58" s="24">
        <f t="shared" si="4"/>
        <v>0</v>
      </c>
      <c r="E58" s="24">
        <f t="shared" si="4"/>
        <v>0</v>
      </c>
      <c r="F58" s="24">
        <f t="shared" si="4"/>
        <v>0</v>
      </c>
      <c r="G58" s="24">
        <f t="shared" si="4"/>
        <v>524.53805422535186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3393.7085912764041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6121.2553724337704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30240</v>
      </c>
      <c r="C8" s="546">
        <f>B49</f>
        <v>35576.470588235294</v>
      </c>
      <c r="D8" s="969"/>
      <c r="E8" s="969">
        <f>E49</f>
        <v>0</v>
      </c>
      <c r="F8" s="970"/>
      <c r="G8" s="547"/>
      <c r="H8" s="969">
        <f>I49</f>
        <v>0</v>
      </c>
      <c r="I8" s="969">
        <f>G49+F49</f>
        <v>0</v>
      </c>
      <c r="J8" s="969">
        <f>H49+D49+C49</f>
        <v>0</v>
      </c>
      <c r="K8" s="969"/>
      <c r="L8" s="969"/>
      <c r="M8" s="969"/>
      <c r="N8" s="548"/>
      <c r="O8" s="549">
        <f>C8*$C$12+D8*$D$12+E8*$E$12+F8*$F$12+G8*$G$12+H8*$H$12+I8*$I$12+J8*$J$12</f>
        <v>7186.4470588235299</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39754.963963710179</v>
      </c>
      <c r="C10" s="558">
        <f t="shared" ref="C10:L10" si="0">SUM(C8:C9)</f>
        <v>35576.470588235294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7186.4470588235299</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43200</v>
      </c>
      <c r="C17" s="570">
        <f>B50</f>
        <v>50823.529411764706</v>
      </c>
      <c r="D17" s="571"/>
      <c r="E17" s="571">
        <f>E50</f>
        <v>0</v>
      </c>
      <c r="F17" s="572"/>
      <c r="G17" s="573"/>
      <c r="H17" s="570">
        <f>I50</f>
        <v>0</v>
      </c>
      <c r="I17" s="571">
        <f>G50+F50</f>
        <v>0</v>
      </c>
      <c r="J17" s="571">
        <f>H50+D50+C50</f>
        <v>0</v>
      </c>
      <c r="K17" s="571"/>
      <c r="L17" s="571"/>
      <c r="M17" s="571"/>
      <c r="N17" s="976"/>
      <c r="O17" s="574">
        <f>C17*$C$22+E17*$E$22+H17*$H$22+I17*$I$22+J17*$J$22+D17*$D$22+F17*$F$22+G17*$G$22+K17*$K$22+L17*$L$22</f>
        <v>10266.352941176472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43200</v>
      </c>
      <c r="C20" s="557">
        <f>SUM(C17:C19)</f>
        <v>50823.529411764706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10266.352941176472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46020</v>
      </c>
      <c r="C28" s="777">
        <v>9170</v>
      </c>
      <c r="D28" s="630" t="s">
        <v>965</v>
      </c>
      <c r="E28" s="629" t="s">
        <v>966</v>
      </c>
      <c r="F28" s="629" t="s">
        <v>967</v>
      </c>
      <c r="G28" s="629" t="s">
        <v>968</v>
      </c>
      <c r="H28" s="629" t="s">
        <v>969</v>
      </c>
      <c r="I28" s="629" t="s">
        <v>966</v>
      </c>
      <c r="J28" s="776">
        <v>40374</v>
      </c>
      <c r="K28" s="776">
        <v>40374</v>
      </c>
      <c r="L28" s="629" t="s">
        <v>970</v>
      </c>
      <c r="M28" s="629">
        <v>1600</v>
      </c>
      <c r="N28" s="629">
        <v>7200</v>
      </c>
      <c r="O28" s="629">
        <v>10285.714285714286</v>
      </c>
      <c r="P28" s="629">
        <v>20571.428571428572</v>
      </c>
      <c r="Q28" s="629">
        <v>0</v>
      </c>
      <c r="R28" s="629">
        <v>0</v>
      </c>
      <c r="S28" s="629">
        <v>0</v>
      </c>
      <c r="T28" s="629">
        <v>0</v>
      </c>
      <c r="U28" s="629">
        <v>0</v>
      </c>
      <c r="V28" s="629">
        <v>0</v>
      </c>
      <c r="W28" s="629"/>
      <c r="X28" s="629">
        <v>10</v>
      </c>
      <c r="Y28" s="629" t="s">
        <v>111</v>
      </c>
      <c r="Z28" s="631" t="s">
        <v>111</v>
      </c>
    </row>
    <row r="29" spans="1:26" s="583" customFormat="1" ht="25.5">
      <c r="A29" s="582"/>
      <c r="B29" s="777">
        <v>46020</v>
      </c>
      <c r="C29" s="777">
        <v>9170</v>
      </c>
      <c r="D29" s="630" t="s">
        <v>971</v>
      </c>
      <c r="E29" s="629" t="s">
        <v>972</v>
      </c>
      <c r="F29" s="629" t="s">
        <v>973</v>
      </c>
      <c r="G29" s="629" t="s">
        <v>968</v>
      </c>
      <c r="H29" s="629" t="s">
        <v>969</v>
      </c>
      <c r="I29" s="629" t="s">
        <v>972</v>
      </c>
      <c r="J29" s="776">
        <v>40590</v>
      </c>
      <c r="K29" s="776">
        <v>40590</v>
      </c>
      <c r="L29" s="629" t="s">
        <v>970</v>
      </c>
      <c r="M29" s="629">
        <v>5120</v>
      </c>
      <c r="N29" s="629">
        <v>23040</v>
      </c>
      <c r="O29" s="629">
        <v>32914.285714285717</v>
      </c>
      <c r="P29" s="629">
        <v>65828.571428571435</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6720</v>
      </c>
      <c r="N30" s="587">
        <f>SUM(N28:N29)</f>
        <v>30240</v>
      </c>
      <c r="O30" s="587">
        <f>SUM(O28:O29)</f>
        <v>43200</v>
      </c>
      <c r="P30" s="587">
        <f>SUM(P28:P29)</f>
        <v>86400</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6720</v>
      </c>
      <c r="N33" s="592">
        <f>SUMIF($Z$28:$Z$29,"landbouw",N28:N29)</f>
        <v>30240</v>
      </c>
      <c r="O33" s="592">
        <f>SUMIF($Z$28:$Z$29,"landbouw",O28:O29)</f>
        <v>43200</v>
      </c>
      <c r="P33" s="592">
        <f>SUMIF($Z$28:$Z$29,"landbouw",P28:P29)</f>
        <v>86400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35576.470588235294</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50823.529411764706</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2021-06-29T16:48:01Z</dcterms:modified>
</cp:coreProperties>
</file>