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G22" i="18"/>
  <c r="F22" i="18"/>
  <c r="E22" i="18"/>
  <c r="D22" i="18"/>
  <c r="C22" i="18"/>
  <c r="L20" i="18"/>
  <c r="D20" i="18"/>
  <c r="G12" i="18"/>
  <c r="F12" i="18"/>
  <c r="E12" i="18"/>
  <c r="D12" i="18"/>
  <c r="C12" i="18"/>
  <c r="L10" i="18"/>
  <c r="K10" i="18"/>
  <c r="G10" i="18"/>
  <c r="D10" i="18"/>
  <c r="B8" i="18"/>
  <c r="B6" i="18"/>
  <c r="B5" i="18"/>
  <c r="B4" i="18"/>
  <c r="B52" i="18" l="1"/>
  <c r="I9" i="18"/>
  <c r="O9" i="18" s="1"/>
  <c r="J9" i="18"/>
  <c r="F20" i="18"/>
  <c r="B17" i="18"/>
  <c r="B20" i="18" s="1"/>
  <c r="C52" i="18"/>
  <c r="B55" i="18" s="1"/>
  <c r="C8" i="18" s="1"/>
  <c r="G20" i="18"/>
  <c r="K20" i="18"/>
  <c r="B10" i="18"/>
  <c r="O19" i="18"/>
  <c r="O18" i="18"/>
  <c r="I56" i="18"/>
  <c r="H17" i="18" s="1"/>
  <c r="H20" i="18" s="1"/>
  <c r="E56" i="18"/>
  <c r="E17" i="18" s="1"/>
  <c r="E20" i="18" s="1"/>
  <c r="G56" i="18"/>
  <c r="C56" i="18"/>
  <c r="H56" i="18"/>
  <c r="D56" i="18"/>
  <c r="F56" i="18"/>
  <c r="B56" i="18"/>
  <c r="C17" i="18" s="1"/>
  <c r="C55" i="18"/>
  <c r="N6" i="17"/>
  <c r="L6" i="17"/>
  <c r="F6" i="17"/>
  <c r="D6" i="17"/>
  <c r="C6" i="17"/>
  <c r="N16" i="16"/>
  <c r="L16" i="16"/>
  <c r="F16" i="16"/>
  <c r="D16" i="16"/>
  <c r="C16" i="16"/>
  <c r="B16" i="16"/>
  <c r="B13" i="15"/>
  <c r="E55" i="18" l="1"/>
  <c r="E8" i="18" s="1"/>
  <c r="E10" i="18" s="1"/>
  <c r="I55" i="18"/>
  <c r="H8" i="18" s="1"/>
  <c r="H10" i="18" s="1"/>
  <c r="F55" i="18"/>
  <c r="D55" i="18"/>
  <c r="H55" i="18"/>
  <c r="J8" i="18" s="1"/>
  <c r="G55"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<sst xmlns="http://schemas.openxmlformats.org/spreadsheetml/2006/main" count="2646" uniqueCount="1000">
  <si>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</si>
  <si>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</si>
  <si>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</si>
  <si>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</si>
  <si>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</si>
  <si>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</si>
  <si>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</si>
  <si>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</si>
  <si>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</si>
  <si>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</si>
  <si>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</si>
  <si>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</si>
  <si>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</si>
  <si>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</si>
  <si>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</si>
  <si>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</si>
  <si>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</si>
  <si>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</si>
  <si>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</si>
  <si>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</si>
  <si>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</si>
  <si>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</si>
  <si>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</si>
  <si>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</si>
  <si>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</si>
  <si>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</si>
  <si>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</si>
  <si>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</si>
  <si>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</si>
  <si>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</si>
  <si>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</si>
  <si>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</si>
  <si>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</si>
  <si>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</si>
  <si>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</si>
  <si>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</si>
  <si>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</si>
  <si>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</si>
  <si>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</si>
  <si>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</si>
  <si>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</si>
  <si>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</si>
  <si>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</si>
  <si>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</si>
  <si>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</si>
  <si>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</si>
  <si>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</si>
  <si>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</si>
  <si>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</si>
  <si>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</si>
  <si>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</si>
  <si>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</si>
  <si>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</si>
  <si>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</si>
  <si>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</si>
  <si>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</si>
  <si>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</si>
  <si>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</si>
  <si>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</si>
  <si>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</si>
  <si>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</si>
  <si>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</si>
  <si>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</si>
  <si>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</si>
  <si>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</si>
  <si>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</si>
  <si>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</si>
  <si>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</si>
  <si>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</si>
  <si>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</si>
  <si>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</si>
  <si>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</si>
  <si>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</si>
  <si>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</si>
  <si>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</si>
  <si>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</si>
  <si>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</si>
  <si>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</si>
  <si>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</si>
  <si>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</si>
  <si>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</si>
  <si>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</si>
  <si>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</si>
  <si>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</si>
  <si>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</si>
  <si>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</si>
  <si>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</si>
  <si>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</si>
  <si>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</si>
  <si>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</si>
  <si>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</si>
  <si>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</si>
  <si>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</si>
  <si>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</si>
  <si>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</si>
  <si>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</si>
  <si>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</si>
  <si>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</si>
  <si>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</si>
  <si>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</si>
  <si>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</si>
  <si>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</si>
  <si>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</si>
  <si>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</si>
  <si>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</si>
  <si>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</si>
  <si>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</si>
  <si>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</si>
  <si>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</si>
  <si>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</si>
  <si>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</si>
  <si>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</si>
  <si>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</si>
  <si>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</si>
  <si>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</si>
  <si>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</si>
  <si>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</si>
  <si>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</si>
  <si>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</si>
  <si>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</si>
  <si>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</si>
  <si>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</si>
  <si>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</si>
  <si>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</si>
  <si>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</si>
  <si>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</si>
  <si>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</si>
  <si>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</si>
  <si>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</si>
  <si>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</si>
  <si>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</si>
  <si>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</si>
  <si>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</si>
  <si>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</si>
  <si>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</si>
  <si>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</si>
  <si>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</si>
  <si>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</si>
  <si>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</si>
  <si>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</si>
  <si>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</si>
  <si>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</si>
  <si>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</si>
  <si>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</si>
  <si>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</si>
  <si>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</si>
  <si>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</si>
  <si>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</si>
  <si>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</si>
  <si>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</si>
  <si>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</si>
  <si>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</si>
  <si>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</si>
  <si>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</si>
  <si>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</si>
  <si>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</si>
  <si>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</si>
  <si>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</si>
  <si>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</si>
  <si>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</si>
  <si>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</si>
  <si>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</si>
  <si>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</si>
  <si>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</si>
  <si>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</si>
  <si>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</si>
  <si>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</si>
  <si>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</si>
  <si>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</si>
  <si>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</si>
  <si>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</si>
  <si>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</si>
  <si>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</si>
  <si>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</si>
  <si>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</si>
  <si>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</si>
  <si>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</si>
  <si>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</si>
  <si>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</si>
  <si>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</si>
  <si>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</si>
  <si>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</si>
  <si>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</si>
  <si>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</si>
  <si>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</si>
  <si>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</si>
  <si>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</si>
  <si>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</si>
  <si>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</si>
  <si>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</si>
  <si>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</si>
  <si>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</si>
  <si>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</si>
  <si>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</si>
  <si>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</si>
  <si>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</si>
  <si>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</si>
  <si>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</si>
  <si>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</si>
  <si>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</si>
  <si>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</si>
  <si>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</si>
  <si>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</si>
  <si>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</si>
  <si>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</si>
  <si>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</si>
  <si>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</si>
  <si>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</si>
  <si>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</si>
  <si>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</si>
  <si>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</si>
  <si>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</si>
  <si>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</si>
  <si>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</si>
  <si>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</si>
  <si>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</si>
  <si>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</si>
  <si>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</si>
  <si>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</si>
  <si>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</si>
  <si>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</si>
  <si>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</si>
  <si>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</si>
  <si>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</si>
  <si>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</si>
  <si>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</si>
  <si>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</si>
  <si>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</si>
  <si>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</si>
  <si>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</si>
  <si>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</si>
  <si>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</si>
  <si>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</si>
  <si>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</si>
  <si>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</si>
  <si>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</si>
  <si>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</si>
  <si>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</si>
  <si>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</si>
  <si>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</si>
  <si>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</si>
  <si>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</si>
  <si>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</si>
  <si>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</si>
  <si>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</si>
  <si>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</si>
  <si>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</si>
  <si>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</si>
  <si>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</si>
  <si>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</si>
  <si>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</si>
  <si>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</si>
  <si>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</si>
  <si>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</si>
  <si>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</si>
  <si>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</si>
  <si>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</si>
  <si>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</si>
  <si>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</si>
  <si>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</si>
  <si>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</si>
  <si>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</si>
  <si>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</si>
  <si>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</si>
  <si>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</si>
  <si>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</si>
  <si>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</si>
  <si>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</si>
  <si>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</si>
  <si>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</si>
  <si>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</si>
  <si>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</si>
  <si>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</si>
  <si>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</si>
  <si>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</si>
  <si>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</si>
  <si>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</si>
  <si>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</si>
  <si>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</si>
  <si>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</si>
  <si>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</si>
  <si>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</si>
  <si>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</si>
  <si>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</si>
  <si>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</si>
  <si>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</si>
  <si>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</si>
  <si>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</si>
  <si>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</si>
  <si>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</si>
  <si>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</si>
  <si>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</si>
  <si>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</si>
  <si>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</si>
  <si>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</si>
  <si>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</si>
  <si>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</si>
  <si>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</si>
  <si>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</si>
  <si>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</si>
  <si>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</si>
  <si>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</si>
  <si>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</si>
  <si>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</si>
  <si>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</si>
  <si>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</si>
  <si>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</si>
  <si>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</si>
  <si>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</si>
  <si>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</si>
  <si>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</si>
  <si>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</si>
  <si>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</si>
  <si>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</si>
  <si>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</si>
  <si>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</si>
  <si>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</si>
  <si>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</si>
  <si>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</si>
  <si>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</si>
  <si>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</si>
  <si>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</si>
  <si>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</si>
  <si>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</si>
  <si>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</si>
  <si>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</si>
  <si>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</si>
  <si>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</si>
  <si>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</si>
  <si>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</si>
  <si>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</si>
  <si>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</si>
  <si>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</si>
  <si>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</si>
  <si>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</si>
  <si>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</si>
  <si>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</si>
  <si>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</si>
  <si>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</si>
  <si>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</si>
  <si>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</si>
  <si>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</si>
  <si>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</si>
  <si>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</si>
  <si>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</si>
  <si>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</si>
  <si>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</si>
  <si>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</si>
  <si>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</si>
  <si>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</si>
  <si>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</si>
  <si>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</si>
  <si>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</si>
  <si>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</si>
  <si>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</si>
  <si>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</si>
  <si>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</si>
  <si>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</si>
  <si>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</si>
  <si>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</si>
  <si>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</si>
  <si>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</si>
  <si>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</si>
  <si>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</si>
  <si>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</si>
  <si>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</si>
  <si>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</si>
  <si>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</si>
  <si>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</si>
  <si>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</si>
  <si>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</si>
  <si>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</si>
  <si>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</si>
  <si>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</si>
  <si>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</si>
  <si>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</si>
  <si>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</si>
  <si>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</si>
  <si>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</si>
  <si>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</si>
  <si>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</si>
  <si>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</si>
  <si>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</si>
  <si>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</si>
  <si>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</si>
  <si>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</si>
  <si>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</si>
  <si>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</si>
  <si>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</si>
  <si>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</si>
  <si>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</si>
  <si>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</si>
  <si>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</si>
  <si>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</si>
  <si>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</si>
  <si>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</si>
  <si>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</si>
  <si>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</si>
  <si>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</si>
  <si>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</si>
  <si>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</si>
  <si>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</si>
  <si>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</si>
  <si>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</si>
  <si>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</si>
  <si>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</si>
  <si>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</si>
  <si>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</si>
  <si>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</si>
  <si>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</si>
  <si>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</si>
  <si>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</si>
  <si>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</si>
  <si>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</si>
  <si>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</si>
  <si>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</si>
  <si>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</si>
  <si>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</si>
  <si>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</si>
  <si>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</si>
  <si>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</si>
  <si>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</si>
  <si>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</si>
  <si>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</si>
  <si>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</si>
  <si>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</si>
  <si>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</si>
  <si>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</si>
  <si>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</si>
  <si>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</si>
  <si>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</si>
  <si>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</si>
  <si>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</si>
  <si>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</si>
  <si>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</si>
  <si>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</si>
  <si>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</si>
  <si>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</si>
  <si>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</si>
  <si>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</si>
  <si>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</si>
  <si>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</si>
  <si>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</si>
  <si>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</si>
  <si>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</si>
  <si>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</si>
  <si>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</si>
  <si>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</si>
  <si>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</si>
  <si>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</si>
  <si>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</si>
  <si>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</si>
  <si>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</si>
  <si>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</si>
  <si>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</si>
  <si>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</si>
  <si>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</si>
  <si>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</si>
  <si>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</si>
  <si>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</si>
  <si>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</si>
  <si>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</si>
  <si>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</si>
  <si>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</si>
  <si>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</si>
  <si>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</si>
  <si>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</si>
  <si>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</si>
  <si>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</si>
  <si>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</si>
  <si>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</si>
  <si>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</si>
  <si>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</si>
  <si>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</si>
  <si>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</si>
  <si>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</si>
  <si>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</si>
  <si>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</si>
  <si>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</si>
  <si>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</si>
  <si>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</si>
  <si>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</si>
  <si>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</si>
  <si>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</si>
  <si>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</si>
  <si>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</si>
  <si>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</si>
  <si>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</si>
  <si>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</si>
  <si>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</si>
  <si>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</si>
  <si>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</si>
  <si>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</si>
  <si>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</si>
  <si>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</si>
  <si>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</si>
  <si>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</si>
  <si>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</si>
  <si>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</si>
  <si>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</si>
  <si>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</si>
  <si>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</si>
  <si>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</si>
  <si>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</si>
  <si>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</si>
  <si>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</si>
  <si>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</si>
  <si>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</si>
  <si>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</si>
  <si>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</si>
  <si>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</si>
  <si>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</si>
  <si>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</si>
  <si>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</si>
  <si>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</si>
  <si>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</si>
  <si>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</si>
  <si>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</si>
  <si>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</si>
  <si>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</si>
  <si>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</si>
  <si>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</si>
  <si>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</si>
  <si>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</si>
  <si>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</si>
  <si>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</si>
  <si>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</si>
  <si>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</si>
  <si>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</si>
  <si>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</si>
  <si>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</si>
  <si>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</si>
  <si>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</si>
  <si>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</si>
  <si>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</si>
  <si>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</si>
  <si>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</si>
  <si>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</si>
  <si>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</si>
  <si>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</si>
  <si>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</si>
  <si>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</si>
  <si>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</si>
  <si>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</si>
  <si>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</si>
  <si>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</si>
  <si>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</si>
  <si>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</si>
  <si>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</si>
  <si>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</si>
  <si>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</si>
  <si>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</si>
  <si>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</si>
  <si>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</si>
  <si>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</si>
  <si>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</si>
  <si>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</si>
  <si>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</si>
  <si>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</si>
  <si>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</si>
  <si>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</si>
  <si>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</si>
  <si>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</si>
  <si>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</si>
  <si>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</si>
  <si>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</si>
  <si>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</si>
  <si>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</si>
  <si>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</si>
  <si>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</si>
  <si>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</si>
  <si>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</si>
  <si>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</si>
  <si>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</si>
  <si>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</si>
  <si>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</si>
  <si>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</si>
  <si>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</si>
  <si>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</si>
  <si>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</si>
  <si>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</si>
  <si>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</si>
  <si>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</si>
  <si>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</si>
  <si>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</si>
  <si>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</si>
  <si>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</si>
  <si>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</si>
  <si>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</si>
  <si>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</si>
  <si>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</si>
  <si>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</si>
  <si>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</si>
  <si>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</si>
  <si>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</si>
  <si>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</si>
  <si>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</si>
  <si>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</si>
  <si>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</si>
  <si>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</si>
  <si>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</si>
  <si>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</si>
  <si>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</si>
  <si>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</si>
  <si>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</si>
  <si>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</si>
  <si>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</si>
  <si>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</si>
  <si>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</si>
  <si>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</si>
  <si>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</si>
  <si>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</si>
  <si>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</si>
  <si>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</si>
  <si>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</si>
  <si>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</si>
  <si>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</si>
  <si>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</si>
  <si>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</si>
  <si>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</si>
  <si>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</si>
  <si>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</si>
  <si>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</si>
  <si>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</si>
  <si>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</si>
  <si>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</si>
  <si>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</si>
  <si>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</si>
  <si>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</si>
  <si>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</si>
  <si>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</si>
  <si>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</si>
  <si>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</si>
  <si>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</si>
  <si>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</si>
  <si>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</si>
  <si>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</si>
  <si>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</si>
  <si>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</si>
  <si>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</si>
  <si>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</si>
  <si>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</si>
  <si>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</si>
  <si>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</si>
  <si>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</si>
  <si>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</si>
  <si>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</si>
  <si>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</si>
  <si>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</si>
  <si>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</si>
  <si>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</si>
  <si>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</si>
  <si>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</si>
  <si>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</si>
  <si>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</si>
  <si>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</si>
  <si>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</si>
  <si>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</si>
  <si>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</si>
  <si>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</si>
  <si>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</si>
  <si>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</si>
  <si>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</si>
  <si>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</si>
  <si>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</si>
  <si>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</si>
  <si>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</si>
  <si>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</si>
  <si>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</si>
  <si>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</si>
  <si>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</si>
  <si>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</si>
  <si>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</si>
  <si>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</si>
  <si>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</si>
  <si>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</si>
  <si>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</si>
  <si>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</si>
  <si>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</si>
  <si>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</si>
  <si>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</si>
  <si>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</si>
  <si>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</si>
  <si>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</si>
  <si>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</si>
  <si>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</si>
  <si>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</si>
  <si>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</si>
  <si>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</si>
  <si>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</si>
  <si>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</si>
  <si>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</si>
  <si>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</si>
  <si>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</si>
  <si>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</si>
  <si>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</si>
  <si>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</si>
  <si>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</si>
  <si>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</si>
  <si>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</si>
  <si>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</si>
  <si>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</si>
  <si>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</si>
  <si>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</si>
  <si>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</si>
  <si>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</si>
  <si>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</si>
  <si>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</si>
  <si>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</si>
  <si>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</si>
  <si>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</si>
  <si>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</si>
  <si>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</si>
  <si>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</si>
  <si>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</si>
  <si>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</si>
  <si>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</si>
  <si>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</si>
  <si>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</si>
  <si>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</si>
  <si>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</si>
  <si>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</si>
  <si>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</si>
  <si>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</si>
  <si>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</si>
  <si>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</si>
  <si>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</si>
  <si>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</si>
  <si>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</si>
  <si>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</si>
  <si>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</si>
  <si>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</si>
  <si>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</si>
  <si>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</si>
  <si>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</si>
  <si>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</si>
  <si>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</si>
  <si>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</si>
  <si>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</si>
  <si>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</si>
  <si>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</si>
  <si>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</si>
  <si>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</si>
  <si>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</si>
  <si>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</si>
  <si>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</si>
  <si>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</si>
  <si>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</si>
  <si>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</si>
  <si>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</si>
  <si>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</si>
  <si>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</si>
  <si>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</si>
  <si>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</si>
  <si>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</si>
  <si>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</si>
  <si>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</si>
  <si>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</si>
  <si>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</si>
  <si>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</si>
  <si>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</si>
  <si>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</si>
  <si>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</si>
  <si>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</si>
  <si>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</si>
  <si>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</si>
  <si>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</si>
  <si>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</si>
  <si>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</si>
  <si>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</si>
  <si>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</si>
  <si>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</si>
  <si>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</si>
  <si>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</si>
  <si>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</si>
  <si>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</si>
  <si>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</si>
  <si>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</si>
  <si>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</si>
  <si>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</si>
  <si>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</si>
  <si>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</si>
  <si>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</si>
  <si>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</si>
  <si>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</si>
  <si>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</si>
  <si>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</si>
  <si>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</si>
  <si>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</si>
  <si>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</si>
  <si>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</si>
  <si>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</si>
  <si>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</si>
  <si>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</si>
  <si>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</si>
  <si>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</si>
  <si>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</si>
  <si>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</si>
  <si>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</si>
  <si>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</si>
  <si>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</si>
  <si>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</si>
  <si>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</si>
  <si>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</si>
  <si>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</si>
  <si>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</si>
  <si>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</si>
  <si>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</si>
  <si>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</si>
  <si>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</si>
  <si>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</si>
  <si>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</si>
  <si>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</si>
  <si>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</si>
  <si>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</si>
  <si>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</si>
  <si>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</si>
  <si>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</si>
  <si>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</si>
  <si>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</si>
  <si>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</si>
  <si>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</si>
  <si>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</si>
  <si>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</si>
  <si>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</si>
  <si>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</si>
  <si>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</si>
  <si>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</si>
  <si>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</si>
  <si>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</si>
  <si>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</si>
  <si>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</si>
  <si>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</si>
  <si>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</si>
  <si>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</si>
  <si>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</si>
  <si>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</si>
  <si>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</si>
  <si>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</si>
  <si>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</si>
  <si>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</si>
  <si>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</si>
  <si>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</si>
  <si>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</si>
  <si>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</si>
  <si>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</si>
  <si>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</si>
  <si>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</si>
  <si>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</si>
  <si>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</si>
  <si>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</si>
  <si>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</si>
  <si>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</si>
  <si>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</si>
  <si>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</si>
  <si>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</si>
  <si>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</si>
  <si>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</si>
  <si>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</si>
  <si>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</si>
  <si>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</si>
  <si>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</si>
  <si>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</si>
  <si>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</si>
  <si>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</si>
  <si>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</si>
  <si>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</si>
  <si>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</si>
  <si>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</si>
  <si>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</si>
  <si>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</si>
  <si>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</si>
  <si>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</si>
  <si>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</si>
  <si>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</si>
  <si>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</si>
  <si>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</si>
  <si>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</si>
  <si>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</si>
  <si>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</si>
  <si>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</si>
  <si>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</si>
  <si>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</si>
  <si>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</si>
  <si>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</si>
  <si>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</si>
  <si>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</si>
  <si>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</si>
  <si>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</si>
  <si>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</si>
  <si>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</si>
  <si>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</si>
  <si>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</si>
  <si>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</si>
  <si>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</si>
  <si>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</si>
  <si>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</si>
  <si>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</si>
  <si>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</si>
  <si>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</si>
  <si>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</si>
  <si>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</si>
  <si>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</si>
  <si>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</si>
  <si>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</si>
  <si>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</si>
  <si>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</si>
  <si>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</si>
  <si>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</si>
  <si>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</si>
  <si>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</si>
  <si>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</si>
  <si>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</si>
  <si>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</si>
  <si>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</si>
  <si>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</si>
  <si>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</si>
  <si>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</si>
  <si>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</si>
  <si>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</si>
  <si>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</si>
  <si>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</si>
  <si>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</si>
  <si>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</si>
  <si>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</si>
  <si>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</si>
  <si>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</si>
  <si>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</si>
  <si>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</si>
  <si>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</si>
  <si>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</si>
  <si>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</si>
  <si>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</si>
  <si>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</si>
  <si>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</si>
  <si>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</si>
  <si>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</si>
  <si>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</si>
  <si>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</si>
  <si>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</si>
  <si>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</si>
  <si>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</si>
  <si>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</si>
  <si>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</si>
  <si>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</si>
  <si>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</si>
  <si>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</si>
  <si>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</si>
  <si>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</si>
  <si>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</si>
  <si>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</si>
  <si>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</si>
  <si>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</si>
  <si>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</si>
  <si>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</si>
  <si>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</si>
  <si>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</si>
  <si>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</si>
  <si>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</si>
  <si>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46003</t>
  </si>
  <si>
    <t>BEVEREN</t>
  </si>
  <si>
    <t>Paarden&amp;pony's 200 - 600 kg</t>
  </si>
  <si>
    <t>Paarden&amp;pony's &lt; 200 kg</t>
  </si>
  <si>
    <t>Fluvius</t>
  </si>
  <si>
    <t>referentietaak LNE (2017); Jaarverslag De Lijn</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</si>
  <si>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</si>
  <si>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</si>
  <si>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</si>
  <si>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</si>
  <si>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</si>
  <si>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</si>
  <si>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</si>
  <si>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</si>
  <si>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</si>
  <si>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</si>
  <si>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</si>
  <si>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</si>
  <si>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</si>
  <si>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</si>
  <si>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</si>
  <si>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</si>
  <si>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</si>
  <si>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</si>
  <si>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</si>
  <si>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</si>
  <si>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</si>
  <si>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</si>
  <si>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</si>
  <si>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</si>
  <si>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</si>
  <si>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</si>
  <si>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</si>
  <si>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</si>
  <si>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Van Remoortel nv</t>
  </si>
  <si>
    <t>Aven Ackers 15 b, 9130 Verrebroek</t>
  </si>
  <si>
    <t>BGS-0019 Van Remoortel (GSC rest)</t>
  </si>
  <si>
    <t>biogas - overig</t>
  </si>
  <si>
    <t>niet WKK interne verbrandingsmotor (gas)</t>
  </si>
  <si>
    <t>Verheyenplein 8, 9130 Verrebroek</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</si>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</sst>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46003</v>
      </c>
      <c r="B6" s="386"/>
      <c r="C6" s="387"/>
    </row>
    <row r="7" spans="1:7" s="384" customFormat="1" ht="15.75" customHeight="1">
      <c r="A7" s="388" t="str">
        <f>txtMunicipality</f>
        <v>BEVEREN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138688.14021000543</v>
      </c>
      <c r="D10" s="676">
        <f ca="1">tertiair!C16</f>
        <v>1266.4285714285716</v>
      </c>
      <c r="E10" s="676">
        <f ca="1">tertiair!D16</f>
        <v>64154.87817755471</v>
      </c>
      <c r="F10" s="676">
        <f>tertiair!E16</f>
        <v>684.77028136314607</v>
      </c>
      <c r="G10" s="676">
        <f ca="1">tertiair!F16</f>
        <v>21270.094719853227</v>
      </c>
      <c r="H10" s="676">
        <f>tertiair!G16</f>
        <v>0</v>
      </c>
      <c r="I10" s="676">
        <f>tertiair!H16</f>
        <v>0</v>
      </c>
      <c r="J10" s="676">
        <f>tertiair!I16</f>
        <v>0</v>
      </c>
      <c r="K10" s="676">
        <f>tertiair!J16</f>
        <v>0</v>
      </c>
      <c r="L10" s="676">
        <f>tertiair!K16</f>
        <v>0</v>
      </c>
      <c r="M10" s="676">
        <f ca="1">tertiair!L16</f>
        <v>0</v>
      </c>
      <c r="N10" s="676">
        <f>tertiair!M16</f>
        <v>0</v>
      </c>
      <c r="O10" s="676">
        <f ca="1">tertiair!N16</f>
        <v>5317.7274455560137</v>
      </c>
      <c r="P10" s="676">
        <f>tertiair!O16</f>
        <v>4.6900000000000004</v>
      </c>
      <c r="Q10" s="677">
        <f>tertiair!P16</f>
        <v>19.066666666666666</v>
      </c>
      <c r="R10" s="679">
        <f ca="1">SUM(C10:Q10)</f>
        <v>231405.79607242779</v>
      </c>
      <c r="S10" s="68"/>
    </row>
    <row r="11" spans="1:19" s="445" customFormat="1">
      <c r="A11" s="791" t="s">
        <v>220</v>
      </c>
      <c r="B11" s="796"/>
      <c r="C11" s="676">
        <f>huishoudens!B8</f>
        <v>98847.531485681306</v>
      </c>
      <c r="D11" s="676">
        <f>huishoudens!C8</f>
        <v>0</v>
      </c>
      <c r="E11" s="676">
        <f>huishoudens!D8</f>
        <v>213885.26822750521</v>
      </c>
      <c r="F11" s="676">
        <f>huishoudens!E8</f>
        <v>3123.6144705116067</v>
      </c>
      <c r="G11" s="676">
        <f>huishoudens!F8</f>
        <v>95229.936428933288</v>
      </c>
      <c r="H11" s="676">
        <f>huishoudens!G8</f>
        <v>0</v>
      </c>
      <c r="I11" s="676">
        <f>huishoudens!H8</f>
        <v>0</v>
      </c>
      <c r="J11" s="676">
        <f>huishoudens!I8</f>
        <v>0</v>
      </c>
      <c r="K11" s="676">
        <f>huishoudens!J8</f>
        <v>1727.9140140283778</v>
      </c>
      <c r="L11" s="676">
        <f>huishoudens!K8</f>
        <v>0</v>
      </c>
      <c r="M11" s="676">
        <f>huishoudens!L8</f>
        <v>0</v>
      </c>
      <c r="N11" s="676">
        <f>huishoudens!M8</f>
        <v>0</v>
      </c>
      <c r="O11" s="676">
        <f>huishoudens!N8</f>
        <v>26830.981085765059</v>
      </c>
      <c r="P11" s="676">
        <f>huishoudens!O8</f>
        <v>576.87</v>
      </c>
      <c r="Q11" s="677">
        <f>huishoudens!P8</f>
        <v>686.4</v>
      </c>
      <c r="R11" s="679">
        <f>SUM(C11:Q11)</f>
        <v>440908.51571242488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96710.710850076852</v>
      </c>
      <c r="D13" s="676">
        <f>industrie!C18</f>
        <v>0</v>
      </c>
      <c r="E13" s="676">
        <f>industrie!D18</f>
        <v>29849.089845671027</v>
      </c>
      <c r="F13" s="676">
        <f>industrie!E18</f>
        <v>804.79228597309998</v>
      </c>
      <c r="G13" s="676">
        <f>industrie!F18</f>
        <v>19062.642520896534</v>
      </c>
      <c r="H13" s="676">
        <f>industrie!G18</f>
        <v>0</v>
      </c>
      <c r="I13" s="676">
        <f>industrie!H18</f>
        <v>0</v>
      </c>
      <c r="J13" s="676">
        <f>industrie!I18</f>
        <v>0</v>
      </c>
      <c r="K13" s="676">
        <f>industrie!J18</f>
        <v>355.84819482120571</v>
      </c>
      <c r="L13" s="676">
        <f>industrie!K18</f>
        <v>0</v>
      </c>
      <c r="M13" s="676">
        <f>industrie!L18</f>
        <v>0</v>
      </c>
      <c r="N13" s="676">
        <f>industrie!M18</f>
        <v>0</v>
      </c>
      <c r="O13" s="676">
        <f>industrie!N18</f>
        <v>0</v>
      </c>
      <c r="P13" s="676">
        <f>industrie!O18</f>
        <v>0</v>
      </c>
      <c r="Q13" s="677">
        <f>industrie!P18</f>
        <v>0</v>
      </c>
      <c r="R13" s="679">
        <f>SUM(C13:Q13)</f>
        <v>146783.08369743873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334246.38254576357</v>
      </c>
      <c r="D16" s="709">
        <f t="shared" ref="D16:R16" ca="1" si="0">SUM(D9:D15)</f>
        <v>1266.4285714285716</v>
      </c>
      <c r="E16" s="709">
        <f t="shared" ca="1" si="0"/>
        <v>307889.23625073093</v>
      </c>
      <c r="F16" s="709">
        <f t="shared" si="0"/>
        <v>4613.1770378478523</v>
      </c>
      <c r="G16" s="709">
        <f t="shared" ca="1" si="0"/>
        <v>135562.67366968305</v>
      </c>
      <c r="H16" s="709">
        <f t="shared" si="0"/>
        <v>0</v>
      </c>
      <c r="I16" s="709">
        <f t="shared" si="0"/>
        <v>0</v>
      </c>
      <c r="J16" s="709">
        <f t="shared" si="0"/>
        <v>0</v>
      </c>
      <c r="K16" s="709">
        <f t="shared" si="0"/>
        <v>2083.7622088495837</v>
      </c>
      <c r="L16" s="709">
        <f t="shared" si="0"/>
        <v>0</v>
      </c>
      <c r="M16" s="709">
        <f t="shared" ca="1" si="0"/>
        <v>0</v>
      </c>
      <c r="N16" s="709">
        <f t="shared" si="0"/>
        <v>0</v>
      </c>
      <c r="O16" s="709">
        <f t="shared" ca="1" si="0"/>
        <v>32148.708531321074</v>
      </c>
      <c r="P16" s="709">
        <f t="shared" si="0"/>
        <v>581.56000000000006</v>
      </c>
      <c r="Q16" s="709">
        <f t="shared" si="0"/>
        <v>705.4666666666667</v>
      </c>
      <c r="R16" s="709">
        <f t="shared" ca="1" si="0"/>
        <v>819097.39548229135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20.145500148423025</v>
      </c>
      <c r="D19" s="676">
        <f>transport!C54</f>
        <v>0</v>
      </c>
      <c r="E19" s="676">
        <f>transport!D54</f>
        <v>0</v>
      </c>
      <c r="F19" s="676">
        <f>transport!E54</f>
        <v>0</v>
      </c>
      <c r="G19" s="676">
        <f>transport!F54</f>
        <v>0</v>
      </c>
      <c r="H19" s="676">
        <f>transport!G54</f>
        <v>4018.0597227729813</v>
      </c>
      <c r="I19" s="676">
        <f>transport!H54</f>
        <v>0</v>
      </c>
      <c r="J19" s="676">
        <f>transport!I54</f>
        <v>0</v>
      </c>
      <c r="K19" s="676">
        <f>transport!J54</f>
        <v>0</v>
      </c>
      <c r="L19" s="676">
        <f>transport!K54</f>
        <v>0</v>
      </c>
      <c r="M19" s="676">
        <f>transport!L54</f>
        <v>0</v>
      </c>
      <c r="N19" s="676">
        <f>transport!M54</f>
        <v>177.59396027273877</v>
      </c>
      <c r="O19" s="676">
        <f>transport!N54</f>
        <v>0</v>
      </c>
      <c r="P19" s="676">
        <f>transport!O54</f>
        <v>0</v>
      </c>
      <c r="Q19" s="677">
        <f>transport!P54</f>
        <v>0</v>
      </c>
      <c r="R19" s="679">
        <f>SUM(C19:Q19)</f>
        <v>4215.7991831941426</v>
      </c>
      <c r="S19" s="68"/>
    </row>
    <row r="20" spans="1:19" s="445" customFormat="1">
      <c r="A20" s="791" t="s">
        <v>302</v>
      </c>
      <c r="B20" s="796"/>
      <c r="C20" s="676">
        <f>transport!B14</f>
        <v>21.08205049988787</v>
      </c>
      <c r="D20" s="676">
        <f>transport!C14</f>
        <v>0</v>
      </c>
      <c r="E20" s="676">
        <f>transport!D14</f>
        <v>24.029018877047992</v>
      </c>
      <c r="F20" s="676">
        <f>transport!E14</f>
        <v>1735.7991880495097</v>
      </c>
      <c r="G20" s="676">
        <f>transport!F14</f>
        <v>0</v>
      </c>
      <c r="H20" s="676">
        <f>transport!G14</f>
        <v>556903.05353487865</v>
      </c>
      <c r="I20" s="676">
        <f>transport!H14</f>
        <v>59683.666810368588</v>
      </c>
      <c r="J20" s="676">
        <f>transport!I14</f>
        <v>0</v>
      </c>
      <c r="K20" s="676">
        <f>transport!J14</f>
        <v>0</v>
      </c>
      <c r="L20" s="676">
        <f>transport!K14</f>
        <v>0</v>
      </c>
      <c r="M20" s="676">
        <f>transport!L14</f>
        <v>0</v>
      </c>
      <c r="N20" s="676">
        <f>transport!M14</f>
        <v>27513.573588479547</v>
      </c>
      <c r="O20" s="676">
        <f>transport!N14</f>
        <v>0</v>
      </c>
      <c r="P20" s="676">
        <f>transport!O14</f>
        <v>0</v>
      </c>
      <c r="Q20" s="677">
        <f>transport!P14</f>
        <v>0</v>
      </c>
      <c r="R20" s="679">
        <f>SUM(C20:Q20)</f>
        <v>645881.20419115317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41.227550648310896</v>
      </c>
      <c r="D22" s="794">
        <f t="shared" ref="D22:R22" si="1">SUM(D18:D21)</f>
        <v>0</v>
      </c>
      <c r="E22" s="794">
        <f t="shared" si="1"/>
        <v>24.029018877047992</v>
      </c>
      <c r="F22" s="794">
        <f t="shared" si="1"/>
        <v>1735.7991880495097</v>
      </c>
      <c r="G22" s="794">
        <f t="shared" si="1"/>
        <v>0</v>
      </c>
      <c r="H22" s="794">
        <f t="shared" si="1"/>
        <v>560921.11325765168</v>
      </c>
      <c r="I22" s="794">
        <f t="shared" si="1"/>
        <v>59683.666810368588</v>
      </c>
      <c r="J22" s="794">
        <f t="shared" si="1"/>
        <v>0</v>
      </c>
      <c r="K22" s="794">
        <f t="shared" si="1"/>
        <v>0</v>
      </c>
      <c r="L22" s="794">
        <f t="shared" si="1"/>
        <v>0</v>
      </c>
      <c r="M22" s="794">
        <f t="shared" si="1"/>
        <v>0</v>
      </c>
      <c r="N22" s="794">
        <f t="shared" si="1"/>
        <v>27691.167548752284</v>
      </c>
      <c r="O22" s="794">
        <f t="shared" si="1"/>
        <v>0</v>
      </c>
      <c r="P22" s="794">
        <f t="shared" si="1"/>
        <v>0</v>
      </c>
      <c r="Q22" s="794">
        <f t="shared" si="1"/>
        <v>0</v>
      </c>
      <c r="R22" s="794">
        <f t="shared" si="1"/>
        <v>650097.00337434735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9622.4109834957871</v>
      </c>
      <c r="D24" s="676">
        <f>+landbouw!C8</f>
        <v>90564.428571428565</v>
      </c>
      <c r="E24" s="676">
        <f>+landbouw!D8</f>
        <v>0</v>
      </c>
      <c r="F24" s="676">
        <f>+landbouw!E8</f>
        <v>90.64955869137826</v>
      </c>
      <c r="G24" s="676">
        <f>+landbouw!F8</f>
        <v>31401.120436897567</v>
      </c>
      <c r="H24" s="676">
        <f>+landbouw!G8</f>
        <v>0</v>
      </c>
      <c r="I24" s="676">
        <f>+landbouw!H8</f>
        <v>0</v>
      </c>
      <c r="J24" s="676">
        <f>+landbouw!I8</f>
        <v>0</v>
      </c>
      <c r="K24" s="676">
        <f>+landbouw!J8</f>
        <v>1190.3390420564619</v>
      </c>
      <c r="L24" s="676">
        <f>+landbouw!K8</f>
        <v>0</v>
      </c>
      <c r="M24" s="676">
        <f>+landbouw!L8</f>
        <v>0</v>
      </c>
      <c r="N24" s="676">
        <f>+landbouw!M8</f>
        <v>0</v>
      </c>
      <c r="O24" s="676">
        <f>+landbouw!N8</f>
        <v>0</v>
      </c>
      <c r="P24" s="676">
        <f>+landbouw!O8</f>
        <v>0</v>
      </c>
      <c r="Q24" s="677">
        <f>+landbouw!P8</f>
        <v>0</v>
      </c>
      <c r="R24" s="679">
        <f>SUM(C24:Q24)</f>
        <v>132868.94859256977</v>
      </c>
      <c r="S24" s="68"/>
    </row>
    <row r="25" spans="1:19" s="445" customFormat="1" ht="15" thickBot="1">
      <c r="A25" s="813" t="s">
        <v>879</v>
      </c>
      <c r="B25" s="979"/>
      <c r="C25" s="980">
        <f>IF(Onbekend_ele_kWh="---",0,Onbekend_ele_kWh)/1000+IF(REST_rest_ele_kWh="---",0,REST_rest_ele_kWh)/1000</f>
        <v>3311.9735383372999</v>
      </c>
      <c r="D25" s="980"/>
      <c r="E25" s="980">
        <f>IF(onbekend_gas_kWh="---",0,onbekend_gas_kWh)/1000+IF(REST_rest_gas_kWh="---",0,REST_rest_gas_kWh)/1000</f>
        <v>7134.0971335226595</v>
      </c>
      <c r="F25" s="980"/>
      <c r="G25" s="980"/>
      <c r="H25" s="980"/>
      <c r="I25" s="980"/>
      <c r="J25" s="980"/>
      <c r="K25" s="980"/>
      <c r="L25" s="980"/>
      <c r="M25" s="980"/>
      <c r="N25" s="980"/>
      <c r="O25" s="980"/>
      <c r="P25" s="980"/>
      <c r="Q25" s="981"/>
      <c r="R25" s="679">
        <f>SUM(C25:Q25)</f>
        <v>10446.070671859959</v>
      </c>
      <c r="S25" s="68"/>
    </row>
    <row r="26" spans="1:19" s="445" customFormat="1" ht="15.75" thickBot="1">
      <c r="A26" s="682" t="s">
        <v>880</v>
      </c>
      <c r="B26" s="799"/>
      <c r="C26" s="794">
        <f>SUM(C24:C25)</f>
        <v>12934.384521833086</v>
      </c>
      <c r="D26" s="794">
        <f t="shared" ref="D26:R26" si="2">SUM(D24:D25)</f>
        <v>90564.428571428565</v>
      </c>
      <c r="E26" s="794">
        <f t="shared" si="2"/>
        <v>7134.0971335226595</v>
      </c>
      <c r="F26" s="794">
        <f t="shared" si="2"/>
        <v>90.64955869137826</v>
      </c>
      <c r="G26" s="794">
        <f t="shared" si="2"/>
        <v>31401.120436897567</v>
      </c>
      <c r="H26" s="794">
        <f t="shared" si="2"/>
        <v>0</v>
      </c>
      <c r="I26" s="794">
        <f t="shared" si="2"/>
        <v>0</v>
      </c>
      <c r="J26" s="794">
        <f t="shared" si="2"/>
        <v>0</v>
      </c>
      <c r="K26" s="794">
        <f t="shared" si="2"/>
        <v>1190.3390420564619</v>
      </c>
      <c r="L26" s="794">
        <f t="shared" si="2"/>
        <v>0</v>
      </c>
      <c r="M26" s="794">
        <f t="shared" si="2"/>
        <v>0</v>
      </c>
      <c r="N26" s="794">
        <f t="shared" si="2"/>
        <v>0</v>
      </c>
      <c r="O26" s="794">
        <f t="shared" si="2"/>
        <v>0</v>
      </c>
      <c r="P26" s="794">
        <f t="shared" si="2"/>
        <v>0</v>
      </c>
      <c r="Q26" s="794">
        <f t="shared" si="2"/>
        <v>0</v>
      </c>
      <c r="R26" s="794">
        <f t="shared" si="2"/>
        <v>143315.01926442972</v>
      </c>
      <c r="S26" s="68"/>
    </row>
    <row r="27" spans="1:19" s="445" customFormat="1" ht="17.25" thickTop="1" thickBot="1">
      <c r="A27" s="683" t="s">
        <v>115</v>
      </c>
      <c r="B27" s="786"/>
      <c r="C27" s="684">
        <f ca="1">C22+C16+C26</f>
        <v>347221.99461824499</v>
      </c>
      <c r="D27" s="684">
        <f t="shared" ref="D27:R27" ca="1" si="3">D22+D16+D26</f>
        <v>91830.85714285713</v>
      </c>
      <c r="E27" s="684">
        <f t="shared" ca="1" si="3"/>
        <v>315047.36240313068</v>
      </c>
      <c r="F27" s="684">
        <f t="shared" si="3"/>
        <v>6439.6257845887403</v>
      </c>
      <c r="G27" s="684">
        <f t="shared" ca="1" si="3"/>
        <v>166963.79410658061</v>
      </c>
      <c r="H27" s="684">
        <f t="shared" si="3"/>
        <v>560921.11325765168</v>
      </c>
      <c r="I27" s="684">
        <f t="shared" si="3"/>
        <v>59683.666810368588</v>
      </c>
      <c r="J27" s="684">
        <f t="shared" si="3"/>
        <v>0</v>
      </c>
      <c r="K27" s="684">
        <f t="shared" si="3"/>
        <v>3274.1012509060456</v>
      </c>
      <c r="L27" s="684">
        <f t="shared" si="3"/>
        <v>0</v>
      </c>
      <c r="M27" s="684">
        <f t="shared" ca="1" si="3"/>
        <v>0</v>
      </c>
      <c r="N27" s="684">
        <f t="shared" si="3"/>
        <v>27691.167548752284</v>
      </c>
      <c r="O27" s="684">
        <f t="shared" ca="1" si="3"/>
        <v>32148.708531321074</v>
      </c>
      <c r="P27" s="684">
        <f t="shared" si="3"/>
        <v>581.56000000000006</v>
      </c>
      <c r="Q27" s="684">
        <f t="shared" si="3"/>
        <v>705.4666666666667</v>
      </c>
      <c r="R27" s="684">
        <f t="shared" ca="1" si="3"/>
        <v>1612509.4181210685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24361.932922382199</v>
      </c>
      <c r="D40" s="676">
        <f ca="1">tertiair!C20</f>
        <v>247.64220698360003</v>
      </c>
      <c r="E40" s="676">
        <f ca="1">tertiair!D20</f>
        <v>12959.285391866053</v>
      </c>
      <c r="F40" s="676">
        <f>tertiair!E20</f>
        <v>155.44285386943417</v>
      </c>
      <c r="G40" s="676">
        <f ca="1">tertiair!F20</f>
        <v>5679.1152902008116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43403.418665302095</v>
      </c>
    </row>
    <row r="41" spans="1:18">
      <c r="A41" s="804" t="s">
        <v>220</v>
      </c>
      <c r="B41" s="811"/>
      <c r="C41" s="676">
        <f ca="1">huishoudens!B12</f>
        <v>17363.539001610323</v>
      </c>
      <c r="D41" s="676">
        <f ca="1">huishoudens!C12</f>
        <v>0</v>
      </c>
      <c r="E41" s="676">
        <f>huishoudens!D12</f>
        <v>43204.824181956057</v>
      </c>
      <c r="F41" s="676">
        <f>huishoudens!E12</f>
        <v>709.0604848061347</v>
      </c>
      <c r="G41" s="676">
        <f>huishoudens!F12</f>
        <v>25426.393026525191</v>
      </c>
      <c r="H41" s="676">
        <f>huishoudens!G12</f>
        <v>0</v>
      </c>
      <c r="I41" s="676">
        <f>huishoudens!H12</f>
        <v>0</v>
      </c>
      <c r="J41" s="676">
        <f>huishoudens!I12</f>
        <v>0</v>
      </c>
      <c r="K41" s="676">
        <f>huishoudens!J12</f>
        <v>611.68156096604571</v>
      </c>
      <c r="L41" s="676">
        <f>huishoudens!K12</f>
        <v>0</v>
      </c>
      <c r="M41" s="676">
        <f>huishoudens!L12</f>
        <v>0</v>
      </c>
      <c r="N41" s="676">
        <f>huishoudens!M12</f>
        <v>0</v>
      </c>
      <c r="O41" s="676">
        <f>huishoudens!N12</f>
        <v>0</v>
      </c>
      <c r="P41" s="676">
        <f>huishoudens!O12</f>
        <v>0</v>
      </c>
      <c r="Q41" s="751">
        <f>huishoudens!P12</f>
        <v>0</v>
      </c>
      <c r="R41" s="832">
        <f t="shared" ca="1" si="4"/>
        <v>87315.498255863757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16988.185486068684</v>
      </c>
      <c r="D43" s="676">
        <f ca="1">industrie!C22</f>
        <v>0</v>
      </c>
      <c r="E43" s="676">
        <f>industrie!D22</f>
        <v>6029.516148825548</v>
      </c>
      <c r="F43" s="676">
        <f>industrie!E22</f>
        <v>182.68784891589371</v>
      </c>
      <c r="G43" s="676">
        <f>industrie!F22</f>
        <v>5089.7255530793745</v>
      </c>
      <c r="H43" s="676">
        <f>industrie!G22</f>
        <v>0</v>
      </c>
      <c r="I43" s="676">
        <f>industrie!H22</f>
        <v>0</v>
      </c>
      <c r="J43" s="676">
        <f>industrie!I22</f>
        <v>0</v>
      </c>
      <c r="K43" s="676">
        <f>industrie!J22</f>
        <v>125.97026096670682</v>
      </c>
      <c r="L43" s="676">
        <f>industrie!K22</f>
        <v>0</v>
      </c>
      <c r="M43" s="676">
        <f>industrie!L22</f>
        <v>0</v>
      </c>
      <c r="N43" s="676">
        <f>industrie!M22</f>
        <v>0</v>
      </c>
      <c r="O43" s="676">
        <f>industrie!N22</f>
        <v>0</v>
      </c>
      <c r="P43" s="676">
        <f>industrie!O22</f>
        <v>0</v>
      </c>
      <c r="Q43" s="751">
        <f>industrie!P22</f>
        <v>0</v>
      </c>
      <c r="R43" s="831">
        <f t="shared" ca="1" si="4"/>
        <v>28416.085297856207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58713.657410061205</v>
      </c>
      <c r="D46" s="709">
        <f t="shared" ref="D46:Q46" ca="1" si="5">SUM(D39:D45)</f>
        <v>247.64220698360003</v>
      </c>
      <c r="E46" s="709">
        <f t="shared" ca="1" si="5"/>
        <v>62193.625722647659</v>
      </c>
      <c r="F46" s="709">
        <f t="shared" si="5"/>
        <v>1047.1911875914625</v>
      </c>
      <c r="G46" s="709">
        <f t="shared" ca="1" si="5"/>
        <v>36195.233869805379</v>
      </c>
      <c r="H46" s="709">
        <f t="shared" si="5"/>
        <v>0</v>
      </c>
      <c r="I46" s="709">
        <f t="shared" si="5"/>
        <v>0</v>
      </c>
      <c r="J46" s="709">
        <f t="shared" si="5"/>
        <v>0</v>
      </c>
      <c r="K46" s="709">
        <f t="shared" si="5"/>
        <v>737.65182193275257</v>
      </c>
      <c r="L46" s="709">
        <f t="shared" si="5"/>
        <v>0</v>
      </c>
      <c r="M46" s="709">
        <f t="shared" ca="1" si="5"/>
        <v>0</v>
      </c>
      <c r="N46" s="709">
        <f t="shared" si="5"/>
        <v>0</v>
      </c>
      <c r="O46" s="709">
        <f t="shared" ca="1" si="5"/>
        <v>0</v>
      </c>
      <c r="P46" s="709">
        <f t="shared" si="5"/>
        <v>0</v>
      </c>
      <c r="Q46" s="709">
        <f t="shared" si="5"/>
        <v>0</v>
      </c>
      <c r="R46" s="709">
        <f ca="1">SUM(R39:R45)</f>
        <v>159135.00221902208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3.5387548103288764</v>
      </c>
      <c r="D49" s="676">
        <f ca="1">transport!C58</f>
        <v>0</v>
      </c>
      <c r="E49" s="676">
        <f>transport!D58</f>
        <v>0</v>
      </c>
      <c r="F49" s="676">
        <f>transport!E58</f>
        <v>0</v>
      </c>
      <c r="G49" s="676">
        <f>transport!F58</f>
        <v>0</v>
      </c>
      <c r="H49" s="676">
        <f>transport!G58</f>
        <v>1072.8219459803861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1076.3607007907149</v>
      </c>
    </row>
    <row r="50" spans="1:18">
      <c r="A50" s="807" t="s">
        <v>302</v>
      </c>
      <c r="B50" s="817"/>
      <c r="C50" s="986">
        <f ca="1">transport!B18</f>
        <v>3.7032690709301876</v>
      </c>
      <c r="D50" s="986">
        <f>transport!C18</f>
        <v>0</v>
      </c>
      <c r="E50" s="986">
        <f>transport!D18</f>
        <v>4.8538618131636948</v>
      </c>
      <c r="F50" s="986">
        <f>transport!E18</f>
        <v>394.02641568723868</v>
      </c>
      <c r="G50" s="986">
        <f>transport!F18</f>
        <v>0</v>
      </c>
      <c r="H50" s="986">
        <f>transport!G18</f>
        <v>148693.11529381262</v>
      </c>
      <c r="I50" s="986">
        <f>transport!H18</f>
        <v>14861.233035781779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163956.93187616573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7.2420238812590636</v>
      </c>
      <c r="D52" s="709">
        <f t="shared" ref="D52:Q52" ca="1" si="6">SUM(D48:D51)</f>
        <v>0</v>
      </c>
      <c r="E52" s="709">
        <f t="shared" si="6"/>
        <v>4.8538618131636948</v>
      </c>
      <c r="F52" s="709">
        <f t="shared" si="6"/>
        <v>394.02641568723868</v>
      </c>
      <c r="G52" s="709">
        <f t="shared" si="6"/>
        <v>0</v>
      </c>
      <c r="H52" s="709">
        <f t="shared" si="6"/>
        <v>149765.93723979301</v>
      </c>
      <c r="I52" s="709">
        <f t="shared" si="6"/>
        <v>14861.233035781779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165033.29257695645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1690.2709242228789</v>
      </c>
      <c r="D54" s="986">
        <f ca="1">+landbouw!C12</f>
        <v>17709.30905352061</v>
      </c>
      <c r="E54" s="986">
        <f>+landbouw!D12</f>
        <v>0</v>
      </c>
      <c r="F54" s="986">
        <f>+landbouw!E12</f>
        <v>20.577449822942867</v>
      </c>
      <c r="G54" s="986">
        <f>+landbouw!F12</f>
        <v>8384.0991566516514</v>
      </c>
      <c r="H54" s="986">
        <f>+landbouw!G12</f>
        <v>0</v>
      </c>
      <c r="I54" s="986">
        <f>+landbouw!H12</f>
        <v>0</v>
      </c>
      <c r="J54" s="986">
        <f>+landbouw!I12</f>
        <v>0</v>
      </c>
      <c r="K54" s="986">
        <f>+landbouw!J12</f>
        <v>421.38002088798748</v>
      </c>
      <c r="L54" s="986">
        <f>+landbouw!K12</f>
        <v>0</v>
      </c>
      <c r="M54" s="986">
        <f>+landbouw!L12</f>
        <v>0</v>
      </c>
      <c r="N54" s="986">
        <f>+landbouw!M12</f>
        <v>0</v>
      </c>
      <c r="O54" s="986">
        <f>+landbouw!N12</f>
        <v>0</v>
      </c>
      <c r="P54" s="986">
        <f>+landbouw!O12</f>
        <v>0</v>
      </c>
      <c r="Q54" s="987">
        <f>+landbouw!P12</f>
        <v>0</v>
      </c>
      <c r="R54" s="708">
        <f ca="1">SUM(C54:Q54)</f>
        <v>28225.636605106072</v>
      </c>
    </row>
    <row r="55" spans="1:18" ht="15" thickBot="1">
      <c r="A55" s="807" t="s">
        <v>879</v>
      </c>
      <c r="B55" s="817"/>
      <c r="C55" s="986">
        <f ca="1">C25*'EF ele_warmte'!B12</f>
        <v>581.78065593424958</v>
      </c>
      <c r="D55" s="986"/>
      <c r="E55" s="986">
        <f>E25*EF_CO2_aardgas</f>
        <v>1441.0876209715773</v>
      </c>
      <c r="F55" s="986"/>
      <c r="G55" s="986"/>
      <c r="H55" s="986"/>
      <c r="I55" s="986"/>
      <c r="J55" s="986"/>
      <c r="K55" s="986"/>
      <c r="L55" s="986"/>
      <c r="M55" s="986"/>
      <c r="N55" s="986"/>
      <c r="O55" s="986"/>
      <c r="P55" s="986"/>
      <c r="Q55" s="987"/>
      <c r="R55" s="708">
        <f ca="1">SUM(C55:Q55)</f>
        <v>2022.8682769058269</v>
      </c>
    </row>
    <row r="56" spans="1:18" ht="15.75" thickBot="1">
      <c r="A56" s="805" t="s">
        <v>880</v>
      </c>
      <c r="B56" s="818"/>
      <c r="C56" s="709">
        <f ca="1">SUM(C54:C55)</f>
        <v>2272.0515801571282</v>
      </c>
      <c r="D56" s="709">
        <f t="shared" ref="D56:Q56" ca="1" si="7">SUM(D54:D55)</f>
        <v>17709.30905352061</v>
      </c>
      <c r="E56" s="709">
        <f t="shared" si="7"/>
        <v>1441.0876209715773</v>
      </c>
      <c r="F56" s="709">
        <f t="shared" si="7"/>
        <v>20.577449822942867</v>
      </c>
      <c r="G56" s="709">
        <f t="shared" si="7"/>
        <v>8384.0991566516514</v>
      </c>
      <c r="H56" s="709">
        <f t="shared" si="7"/>
        <v>0</v>
      </c>
      <c r="I56" s="709">
        <f t="shared" si="7"/>
        <v>0</v>
      </c>
      <c r="J56" s="709">
        <f t="shared" si="7"/>
        <v>0</v>
      </c>
      <c r="K56" s="709">
        <f t="shared" si="7"/>
        <v>421.38002088798748</v>
      </c>
      <c r="L56" s="709">
        <f t="shared" si="7"/>
        <v>0</v>
      </c>
      <c r="M56" s="709">
        <f t="shared" si="7"/>
        <v>0</v>
      </c>
      <c r="N56" s="709">
        <f t="shared" si="7"/>
        <v>0</v>
      </c>
      <c r="O56" s="709">
        <f t="shared" si="7"/>
        <v>0</v>
      </c>
      <c r="P56" s="709">
        <f t="shared" si="7"/>
        <v>0</v>
      </c>
      <c r="Q56" s="710">
        <f t="shared" si="7"/>
        <v>0</v>
      </c>
      <c r="R56" s="711">
        <f ca="1">SUM(R54:R55)</f>
        <v>30248.504882011897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60992.951014099592</v>
      </c>
      <c r="D61" s="717">
        <f t="shared" ref="D61:Q61" ca="1" si="8">D46+D52+D56</f>
        <v>17956.951260504211</v>
      </c>
      <c r="E61" s="717">
        <f t="shared" ca="1" si="8"/>
        <v>63639.567205432402</v>
      </c>
      <c r="F61" s="717">
        <f t="shared" si="8"/>
        <v>1461.795053101644</v>
      </c>
      <c r="G61" s="717">
        <f t="shared" ca="1" si="8"/>
        <v>44579.333026457032</v>
      </c>
      <c r="H61" s="717">
        <f t="shared" si="8"/>
        <v>149765.93723979301</v>
      </c>
      <c r="I61" s="717">
        <f t="shared" si="8"/>
        <v>14861.233035781779</v>
      </c>
      <c r="J61" s="717">
        <f t="shared" si="8"/>
        <v>0</v>
      </c>
      <c r="K61" s="717">
        <f t="shared" si="8"/>
        <v>1159.0318428207402</v>
      </c>
      <c r="L61" s="717">
        <f t="shared" si="8"/>
        <v>0</v>
      </c>
      <c r="M61" s="717">
        <f t="shared" ca="1" si="8"/>
        <v>0</v>
      </c>
      <c r="N61" s="717">
        <f t="shared" si="8"/>
        <v>0</v>
      </c>
      <c r="O61" s="717">
        <f t="shared" ca="1" si="8"/>
        <v>0</v>
      </c>
      <c r="P61" s="717">
        <f t="shared" si="8"/>
        <v>0</v>
      </c>
      <c r="Q61" s="717">
        <f t="shared" si="8"/>
        <v>0</v>
      </c>
      <c r="R61" s="717">
        <f ca="1">R46+R52+R56</f>
        <v>354416.79967799044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0.17565981406551912</v>
      </c>
      <c r="D63" s="761">
        <f t="shared" ca="1" si="9"/>
        <v>0.19554376185958267</v>
      </c>
      <c r="E63" s="988">
        <f t="shared" ca="1" si="9"/>
        <v>0.20200000000000001</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24418.1471811351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36443.264940518719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11388.599999999999</v>
      </c>
      <c r="C76" s="727">
        <f>'lokale energieproductie'!B8*IFERROR(SUM(D76:H76)/SUM(D76:O76),0)</f>
        <v>52892.999999999993</v>
      </c>
      <c r="D76" s="998">
        <f>'lokale energieproductie'!C8</f>
        <v>62227.058823529427</v>
      </c>
      <c r="E76" s="999">
        <f>'lokale energieproductie'!D8</f>
        <v>0</v>
      </c>
      <c r="F76" s="999">
        <f>'lokale energieproductie'!E8</f>
        <v>0</v>
      </c>
      <c r="G76" s="999">
        <f>'lokale energieproductie'!F8</f>
        <v>0</v>
      </c>
      <c r="H76" s="999">
        <f>'lokale energieproductie'!G8</f>
        <v>0</v>
      </c>
      <c r="I76" s="999">
        <f>'lokale energieproductie'!I8</f>
        <v>0</v>
      </c>
      <c r="J76" s="999">
        <f>'lokale energieproductie'!J8</f>
        <v>13398.352941176474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12569.865882352946</v>
      </c>
      <c r="R76" s="834">
        <v>0</v>
      </c>
    </row>
    <row r="77" spans="1:18" ht="30.75" thickBot="1">
      <c r="A77" s="730" t="s">
        <v>346</v>
      </c>
      <c r="B77" s="727">
        <f>'lokale energieproductie'!B9*IFERROR(SUM(I77:O77)/SUM(D77:O77),0)</f>
        <v>2970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8485.7142857142862</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75220.012121653825</v>
      </c>
      <c r="C78" s="732">
        <f>SUM(C72:C77)</f>
        <v>52892.999999999993</v>
      </c>
      <c r="D78" s="733">
        <f t="shared" ref="D78:H78" si="10">SUM(D76:D77)</f>
        <v>62227.058823529427</v>
      </c>
      <c r="E78" s="733">
        <f t="shared" si="10"/>
        <v>0</v>
      </c>
      <c r="F78" s="733">
        <f t="shared" si="10"/>
        <v>0</v>
      </c>
      <c r="G78" s="733">
        <f t="shared" si="10"/>
        <v>0</v>
      </c>
      <c r="H78" s="733">
        <f t="shared" si="10"/>
        <v>0</v>
      </c>
      <c r="I78" s="733">
        <f>SUM(I76:I77)</f>
        <v>0</v>
      </c>
      <c r="J78" s="733">
        <f>SUM(J76:J77)</f>
        <v>21884.067226890758</v>
      </c>
      <c r="K78" s="733">
        <f t="shared" ref="K78:L78" si="11">SUM(K76:K77)</f>
        <v>0</v>
      </c>
      <c r="L78" s="733">
        <f t="shared" si="11"/>
        <v>0</v>
      </c>
      <c r="M78" s="733">
        <f>SUM(M76:M77)</f>
        <v>0</v>
      </c>
      <c r="N78" s="733">
        <f>SUM(N76:N77)</f>
        <v>0</v>
      </c>
      <c r="O78" s="842">
        <f>SUM(O76:O77)</f>
        <v>0</v>
      </c>
      <c r="P78" s="734">
        <v>0</v>
      </c>
      <c r="Q78" s="734">
        <f>SUM(Q76:Q77)</f>
        <v>12569.865882352946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16269.428571428572</v>
      </c>
      <c r="C87" s="743">
        <f>'lokale energieproductie'!B17*IFERROR(SUM(D87:H87)/SUM(D87:O87),0)</f>
        <v>75561.42857142858</v>
      </c>
      <c r="D87" s="754">
        <f>'lokale energieproductie'!C17</f>
        <v>88895.798319327747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19140.504201680676</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17956.951260504207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16269.428571428572</v>
      </c>
      <c r="C90" s="732">
        <f>SUM(C87:C89)</f>
        <v>75561.42857142858</v>
      </c>
      <c r="D90" s="732">
        <f t="shared" ref="D90:H90" si="12">SUM(D87:D89)</f>
        <v>88895.798319327747</v>
      </c>
      <c r="E90" s="732">
        <f t="shared" si="12"/>
        <v>0</v>
      </c>
      <c r="F90" s="732">
        <f t="shared" si="12"/>
        <v>0</v>
      </c>
      <c r="G90" s="732">
        <f t="shared" si="12"/>
        <v>0</v>
      </c>
      <c r="H90" s="732">
        <f t="shared" si="12"/>
        <v>0</v>
      </c>
      <c r="I90" s="732">
        <f>SUM(I87:I89)</f>
        <v>0</v>
      </c>
      <c r="J90" s="732">
        <f>SUM(J87:J89)</f>
        <v>19140.504201680676</v>
      </c>
      <c r="K90" s="732">
        <f t="shared" ref="K90:L90" si="13">SUM(K87:K89)</f>
        <v>0</v>
      </c>
      <c r="L90" s="732">
        <f t="shared" si="13"/>
        <v>0</v>
      </c>
      <c r="M90" s="732">
        <f>SUM(M87:M89)</f>
        <v>0</v>
      </c>
      <c r="N90" s="732">
        <f>SUM(N87:N89)</f>
        <v>0</v>
      </c>
      <c r="O90" s="732">
        <f>SUM(O87:O89)</f>
        <v>0</v>
      </c>
      <c r="P90" s="732">
        <v>0</v>
      </c>
      <c r="Q90" s="732">
        <f>SUM(Q87:Q89)</f>
        <v>17956.951260504207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98847.531485681306</v>
      </c>
      <c r="C4" s="449">
        <f>huishoudens!C8</f>
        <v>0</v>
      </c>
      <c r="D4" s="449">
        <f>huishoudens!D8</f>
        <v>213885.26822750521</v>
      </c>
      <c r="E4" s="449">
        <f>huishoudens!E8</f>
        <v>3123.6144705116067</v>
      </c>
      <c r="F4" s="449">
        <f>huishoudens!F8</f>
        <v>95229.936428933288</v>
      </c>
      <c r="G4" s="449">
        <f>huishoudens!G8</f>
        <v>0</v>
      </c>
      <c r="H4" s="449">
        <f>huishoudens!H8</f>
        <v>0</v>
      </c>
      <c r="I4" s="449">
        <f>huishoudens!I8</f>
        <v>0</v>
      </c>
      <c r="J4" s="449">
        <f>huishoudens!J8</f>
        <v>1727.9140140283778</v>
      </c>
      <c r="K4" s="449">
        <f>huishoudens!K8</f>
        <v>0</v>
      </c>
      <c r="L4" s="449">
        <f>huishoudens!L8</f>
        <v>0</v>
      </c>
      <c r="M4" s="449">
        <f>huishoudens!M8</f>
        <v>0</v>
      </c>
      <c r="N4" s="449">
        <f>huishoudens!N8</f>
        <v>26830.981085765059</v>
      </c>
      <c r="O4" s="449">
        <f>huishoudens!O8</f>
        <v>576.87</v>
      </c>
      <c r="P4" s="450">
        <f>huishoudens!P8</f>
        <v>686.4</v>
      </c>
      <c r="Q4" s="451">
        <f>SUM(B4:P4)</f>
        <v>440908.51571242488</v>
      </c>
    </row>
    <row r="5" spans="1:17">
      <c r="A5" s="448" t="s">
        <v>155</v>
      </c>
      <c r="B5" s="449">
        <f ca="1">tertiair!B16</f>
        <v>135584.37421000542</v>
      </c>
      <c r="C5" s="449">
        <f ca="1">tertiair!C16</f>
        <v>1266.4285714285716</v>
      </c>
      <c r="D5" s="449">
        <f ca="1">tertiair!D16</f>
        <v>64154.87817755471</v>
      </c>
      <c r="E5" s="449">
        <f>tertiair!E16</f>
        <v>684.77028136314607</v>
      </c>
      <c r="F5" s="449">
        <f ca="1">tertiair!F16</f>
        <v>21270.094719853227</v>
      </c>
      <c r="G5" s="449">
        <f>tertiair!G16</f>
        <v>0</v>
      </c>
      <c r="H5" s="449">
        <f>tertiair!H16</f>
        <v>0</v>
      </c>
      <c r="I5" s="449">
        <f>tertiair!I16</f>
        <v>0</v>
      </c>
      <c r="J5" s="449">
        <f>tertiair!J16</f>
        <v>0</v>
      </c>
      <c r="K5" s="449">
        <f>tertiair!K16</f>
        <v>0</v>
      </c>
      <c r="L5" s="449">
        <f ca="1">tertiair!L16</f>
        <v>0</v>
      </c>
      <c r="M5" s="449">
        <f>tertiair!M16</f>
        <v>0</v>
      </c>
      <c r="N5" s="449">
        <f ca="1">tertiair!N16</f>
        <v>5317.7274455560137</v>
      </c>
      <c r="O5" s="449">
        <f>tertiair!O16</f>
        <v>4.6900000000000004</v>
      </c>
      <c r="P5" s="450">
        <f>tertiair!P16</f>
        <v>19.066666666666666</v>
      </c>
      <c r="Q5" s="448">
        <f t="shared" ref="Q5:Q14" ca="1" si="0">SUM(B5:P5)</f>
        <v>228302.03007242779</v>
      </c>
    </row>
    <row r="6" spans="1:17">
      <c r="A6" s="448" t="s">
        <v>193</v>
      </c>
      <c r="B6" s="449">
        <f>'openbare verlichting'!B8</f>
        <v>3103.7660000000001</v>
      </c>
      <c r="C6" s="449"/>
      <c r="D6" s="449"/>
      <c r="E6" s="449"/>
      <c r="F6" s="449"/>
      <c r="G6" s="449"/>
      <c r="H6" s="449"/>
      <c r="I6" s="449"/>
      <c r="J6" s="449"/>
      <c r="K6" s="449"/>
      <c r="L6" s="449"/>
      <c r="M6" s="449"/>
      <c r="N6" s="449"/>
      <c r="O6" s="449"/>
      <c r="P6" s="450"/>
      <c r="Q6" s="448">
        <f t="shared" si="0"/>
        <v>3103.7660000000001</v>
      </c>
    </row>
    <row r="7" spans="1:17">
      <c r="A7" s="448" t="s">
        <v>111</v>
      </c>
      <c r="B7" s="449">
        <f>landbouw!B8</f>
        <v>9622.4109834957871</v>
      </c>
      <c r="C7" s="449">
        <f>landbouw!C8</f>
        <v>90564.428571428565</v>
      </c>
      <c r="D7" s="449">
        <f>landbouw!D8</f>
        <v>0</v>
      </c>
      <c r="E7" s="449">
        <f>landbouw!E8</f>
        <v>90.64955869137826</v>
      </c>
      <c r="F7" s="449">
        <f>landbouw!F8</f>
        <v>31401.120436897567</v>
      </c>
      <c r="G7" s="449">
        <f>landbouw!G8</f>
        <v>0</v>
      </c>
      <c r="H7" s="449">
        <f>landbouw!H8</f>
        <v>0</v>
      </c>
      <c r="I7" s="449">
        <f>landbouw!I8</f>
        <v>0</v>
      </c>
      <c r="J7" s="449">
        <f>landbouw!J8</f>
        <v>1190.3390420564619</v>
      </c>
      <c r="K7" s="449">
        <f>landbouw!K8</f>
        <v>0</v>
      </c>
      <c r="L7" s="449">
        <f>landbouw!L8</f>
        <v>0</v>
      </c>
      <c r="M7" s="449">
        <f>landbouw!M8</f>
        <v>0</v>
      </c>
      <c r="N7" s="449">
        <f>landbouw!N8</f>
        <v>0</v>
      </c>
      <c r="O7" s="449">
        <f>landbouw!O8</f>
        <v>0</v>
      </c>
      <c r="P7" s="450">
        <f>landbouw!P8</f>
        <v>0</v>
      </c>
      <c r="Q7" s="448">
        <f t="shared" si="0"/>
        <v>132868.94859256977</v>
      </c>
    </row>
    <row r="8" spans="1:17">
      <c r="A8" s="448" t="s">
        <v>671</v>
      </c>
      <c r="B8" s="449">
        <f>industrie!B18</f>
        <v>96710.710850076852</v>
      </c>
      <c r="C8" s="449">
        <f>industrie!C18</f>
        <v>0</v>
      </c>
      <c r="D8" s="449">
        <f>industrie!D18</f>
        <v>29849.089845671027</v>
      </c>
      <c r="E8" s="449">
        <f>industrie!E18</f>
        <v>804.79228597309998</v>
      </c>
      <c r="F8" s="449">
        <f>industrie!F18</f>
        <v>19062.642520896534</v>
      </c>
      <c r="G8" s="449">
        <f>industrie!G18</f>
        <v>0</v>
      </c>
      <c r="H8" s="449">
        <f>industrie!H18</f>
        <v>0</v>
      </c>
      <c r="I8" s="449">
        <f>industrie!I18</f>
        <v>0</v>
      </c>
      <c r="J8" s="449">
        <f>industrie!J18</f>
        <v>355.84819482120571</v>
      </c>
      <c r="K8" s="449">
        <f>industrie!K18</f>
        <v>0</v>
      </c>
      <c r="L8" s="449">
        <f>industrie!L18</f>
        <v>0</v>
      </c>
      <c r="M8" s="449">
        <f>industrie!M18</f>
        <v>0</v>
      </c>
      <c r="N8" s="449">
        <f>industrie!N18</f>
        <v>0</v>
      </c>
      <c r="O8" s="449">
        <f>industrie!O18</f>
        <v>0</v>
      </c>
      <c r="P8" s="450">
        <f>industrie!P18</f>
        <v>0</v>
      </c>
      <c r="Q8" s="448">
        <f t="shared" si="0"/>
        <v>146783.08369743873</v>
      </c>
    </row>
    <row r="9" spans="1:17" s="454" customFormat="1">
      <c r="A9" s="452" t="s">
        <v>568</v>
      </c>
      <c r="B9" s="453">
        <f>transport!B14</f>
        <v>21.08205049988787</v>
      </c>
      <c r="C9" s="453">
        <f>transport!C14</f>
        <v>0</v>
      </c>
      <c r="D9" s="453">
        <f>transport!D14</f>
        <v>24.029018877047992</v>
      </c>
      <c r="E9" s="453">
        <f>transport!E14</f>
        <v>1735.7991880495097</v>
      </c>
      <c r="F9" s="453">
        <f>transport!F14</f>
        <v>0</v>
      </c>
      <c r="G9" s="453">
        <f>transport!G14</f>
        <v>556903.05353487865</v>
      </c>
      <c r="H9" s="453">
        <f>transport!H14</f>
        <v>59683.666810368588</v>
      </c>
      <c r="I9" s="453">
        <f>transport!I14</f>
        <v>0</v>
      </c>
      <c r="J9" s="453">
        <f>transport!J14</f>
        <v>0</v>
      </c>
      <c r="K9" s="453">
        <f>transport!K14</f>
        <v>0</v>
      </c>
      <c r="L9" s="453">
        <f>transport!L14</f>
        <v>0</v>
      </c>
      <c r="M9" s="453">
        <f>transport!M14</f>
        <v>27513.573588479547</v>
      </c>
      <c r="N9" s="453">
        <f>transport!N14</f>
        <v>0</v>
      </c>
      <c r="O9" s="453">
        <f>transport!O14</f>
        <v>0</v>
      </c>
      <c r="P9" s="453">
        <f>transport!P14</f>
        <v>0</v>
      </c>
      <c r="Q9" s="452">
        <f>SUM(B9:P9)</f>
        <v>645881.20419115317</v>
      </c>
    </row>
    <row r="10" spans="1:17">
      <c r="A10" s="448" t="s">
        <v>558</v>
      </c>
      <c r="B10" s="449">
        <f>transport!B54</f>
        <v>20.145500148423025</v>
      </c>
      <c r="C10" s="449">
        <f>transport!C54</f>
        <v>0</v>
      </c>
      <c r="D10" s="449">
        <f>transport!D54</f>
        <v>0</v>
      </c>
      <c r="E10" s="449">
        <f>transport!E54</f>
        <v>0</v>
      </c>
      <c r="F10" s="449">
        <f>transport!F54</f>
        <v>0</v>
      </c>
      <c r="G10" s="449">
        <f>transport!G54</f>
        <v>4018.0597227729813</v>
      </c>
      <c r="H10" s="449">
        <f>transport!H54</f>
        <v>0</v>
      </c>
      <c r="I10" s="449">
        <f>transport!I54</f>
        <v>0</v>
      </c>
      <c r="J10" s="449">
        <f>transport!J54</f>
        <v>0</v>
      </c>
      <c r="K10" s="449">
        <f>transport!K54</f>
        <v>0</v>
      </c>
      <c r="L10" s="449">
        <f>transport!L54</f>
        <v>0</v>
      </c>
      <c r="M10" s="449">
        <f>transport!M54</f>
        <v>177.59396027273877</v>
      </c>
      <c r="N10" s="449">
        <f>transport!N54</f>
        <v>0</v>
      </c>
      <c r="O10" s="449">
        <f>transport!O54</f>
        <v>0</v>
      </c>
      <c r="P10" s="450">
        <f>transport!P54</f>
        <v>0</v>
      </c>
      <c r="Q10" s="448">
        <f t="shared" si="0"/>
        <v>4215.7991831941426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3311.9735383372999</v>
      </c>
      <c r="C14" s="456"/>
      <c r="D14" s="456">
        <f>'SEAP template'!E25</f>
        <v>7134.0971335226595</v>
      </c>
      <c r="E14" s="456"/>
      <c r="F14" s="456"/>
      <c r="G14" s="456"/>
      <c r="H14" s="456"/>
      <c r="I14" s="456"/>
      <c r="J14" s="456"/>
      <c r="K14" s="456"/>
      <c r="L14" s="456"/>
      <c r="M14" s="456"/>
      <c r="N14" s="456"/>
      <c r="O14" s="456"/>
      <c r="P14" s="457"/>
      <c r="Q14" s="448">
        <f t="shared" si="0"/>
        <v>10446.070671859959</v>
      </c>
    </row>
    <row r="15" spans="1:17" s="461" customFormat="1">
      <c r="A15" s="458" t="s">
        <v>562</v>
      </c>
      <c r="B15" s="459">
        <f ca="1">SUM(B4:B14)</f>
        <v>347221.99461824499</v>
      </c>
      <c r="C15" s="459">
        <f t="shared" ref="C15:Q15" ca="1" si="1">SUM(C4:C14)</f>
        <v>91830.85714285713</v>
      </c>
      <c r="D15" s="459">
        <f t="shared" ca="1" si="1"/>
        <v>315047.36240313068</v>
      </c>
      <c r="E15" s="459">
        <f t="shared" si="1"/>
        <v>6439.6257845887412</v>
      </c>
      <c r="F15" s="459">
        <f t="shared" ca="1" si="1"/>
        <v>166963.79410658061</v>
      </c>
      <c r="G15" s="459">
        <f t="shared" si="1"/>
        <v>560921.11325765168</v>
      </c>
      <c r="H15" s="459">
        <f t="shared" si="1"/>
        <v>59683.666810368588</v>
      </c>
      <c r="I15" s="459">
        <f t="shared" si="1"/>
        <v>0</v>
      </c>
      <c r="J15" s="459">
        <f t="shared" si="1"/>
        <v>3274.1012509060456</v>
      </c>
      <c r="K15" s="459">
        <f t="shared" si="1"/>
        <v>0</v>
      </c>
      <c r="L15" s="459">
        <f t="shared" ca="1" si="1"/>
        <v>0</v>
      </c>
      <c r="M15" s="459">
        <f t="shared" si="1"/>
        <v>27691.167548752284</v>
      </c>
      <c r="N15" s="459">
        <f t="shared" ca="1" si="1"/>
        <v>32148.708531321074</v>
      </c>
      <c r="O15" s="459">
        <f t="shared" si="1"/>
        <v>581.56000000000006</v>
      </c>
      <c r="P15" s="459">
        <f t="shared" si="1"/>
        <v>705.4666666666667</v>
      </c>
      <c r="Q15" s="459">
        <f t="shared" ca="1" si="1"/>
        <v>1612509.4181210683</v>
      </c>
    </row>
    <row r="17" spans="1:17">
      <c r="A17" s="462" t="s">
        <v>563</v>
      </c>
      <c r="B17" s="766">
        <f ca="1">huishoudens!B10</f>
        <v>0.17565981406551912</v>
      </c>
      <c r="C17" s="766">
        <f ca="1">huishoudens!C10</f>
        <v>0.19554376185958264</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17363.539001610323</v>
      </c>
      <c r="C22" s="449">
        <f t="shared" ref="C22:C32" ca="1" si="3">C4*$C$17</f>
        <v>0</v>
      </c>
      <c r="D22" s="449">
        <f t="shared" ref="D22:D32" si="4">D4*$D$17</f>
        <v>43204.824181956057</v>
      </c>
      <c r="E22" s="449">
        <f t="shared" ref="E22:E32" si="5">E4*$E$17</f>
        <v>709.0604848061347</v>
      </c>
      <c r="F22" s="449">
        <f t="shared" ref="F22:F32" si="6">F4*$F$17</f>
        <v>25426.393026525191</v>
      </c>
      <c r="G22" s="449">
        <f t="shared" ref="G22:G32" si="7">G4*$G$17</f>
        <v>0</v>
      </c>
      <c r="H22" s="449">
        <f t="shared" ref="H22:H32" si="8">H4*$H$17</f>
        <v>0</v>
      </c>
      <c r="I22" s="449">
        <f t="shared" ref="I22:I32" si="9">I4*$I$17</f>
        <v>0</v>
      </c>
      <c r="J22" s="449">
        <f t="shared" ref="J22:J32" si="10">J4*$J$17</f>
        <v>611.68156096604571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87315.498255863757</v>
      </c>
    </row>
    <row r="23" spans="1:17">
      <c r="A23" s="448" t="s">
        <v>155</v>
      </c>
      <c r="B23" s="449">
        <f t="shared" ca="1" si="2"/>
        <v>23816.725963919318</v>
      </c>
      <c r="C23" s="449">
        <f t="shared" ca="1" si="3"/>
        <v>247.64220698360003</v>
      </c>
      <c r="D23" s="449">
        <f t="shared" ca="1" si="4"/>
        <v>12959.285391866053</v>
      </c>
      <c r="E23" s="449">
        <f t="shared" si="5"/>
        <v>155.44285386943417</v>
      </c>
      <c r="F23" s="449">
        <f t="shared" ca="1" si="6"/>
        <v>5679.1152902008116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42858.211706839218</v>
      </c>
    </row>
    <row r="24" spans="1:17">
      <c r="A24" s="448" t="s">
        <v>193</v>
      </c>
      <c r="B24" s="449">
        <f t="shared" ca="1" si="2"/>
        <v>545.20695846288004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545.20695846288004</v>
      </c>
    </row>
    <row r="25" spans="1:17">
      <c r="A25" s="448" t="s">
        <v>111</v>
      </c>
      <c r="B25" s="449">
        <f t="shared" ca="1" si="2"/>
        <v>1690.2709242228789</v>
      </c>
      <c r="C25" s="449">
        <f t="shared" ca="1" si="3"/>
        <v>17709.30905352061</v>
      </c>
      <c r="D25" s="449">
        <f t="shared" si="4"/>
        <v>0</v>
      </c>
      <c r="E25" s="449">
        <f t="shared" si="5"/>
        <v>20.577449822942867</v>
      </c>
      <c r="F25" s="449">
        <f t="shared" si="6"/>
        <v>8384.0991566516514</v>
      </c>
      <c r="G25" s="449">
        <f t="shared" si="7"/>
        <v>0</v>
      </c>
      <c r="H25" s="449">
        <f t="shared" si="8"/>
        <v>0</v>
      </c>
      <c r="I25" s="449">
        <f t="shared" si="9"/>
        <v>0</v>
      </c>
      <c r="J25" s="449">
        <f t="shared" si="10"/>
        <v>421.38002088798748</v>
      </c>
      <c r="K25" s="449">
        <f t="shared" si="11"/>
        <v>0</v>
      </c>
      <c r="L25" s="449">
        <f t="shared" si="12"/>
        <v>0</v>
      </c>
      <c r="M25" s="449">
        <f t="shared" si="13"/>
        <v>0</v>
      </c>
      <c r="N25" s="449">
        <f t="shared" si="14"/>
        <v>0</v>
      </c>
      <c r="O25" s="449">
        <f t="shared" si="15"/>
        <v>0</v>
      </c>
      <c r="P25" s="450">
        <f t="shared" si="16"/>
        <v>0</v>
      </c>
      <c r="Q25" s="448">
        <f t="shared" ca="1" si="17"/>
        <v>28225.636605106072</v>
      </c>
    </row>
    <row r="26" spans="1:17">
      <c r="A26" s="448" t="s">
        <v>671</v>
      </c>
      <c r="B26" s="449">
        <f t="shared" ca="1" si="2"/>
        <v>16988.185486068684</v>
      </c>
      <c r="C26" s="449">
        <f t="shared" ca="1" si="3"/>
        <v>0</v>
      </c>
      <c r="D26" s="449">
        <f t="shared" si="4"/>
        <v>6029.516148825548</v>
      </c>
      <c r="E26" s="449">
        <f t="shared" si="5"/>
        <v>182.68784891589371</v>
      </c>
      <c r="F26" s="449">
        <f t="shared" si="6"/>
        <v>5089.7255530793745</v>
      </c>
      <c r="G26" s="449">
        <f t="shared" si="7"/>
        <v>0</v>
      </c>
      <c r="H26" s="449">
        <f t="shared" si="8"/>
        <v>0</v>
      </c>
      <c r="I26" s="449">
        <f t="shared" si="9"/>
        <v>0</v>
      </c>
      <c r="J26" s="449">
        <f t="shared" si="10"/>
        <v>125.97026096670682</v>
      </c>
      <c r="K26" s="449">
        <f t="shared" si="11"/>
        <v>0</v>
      </c>
      <c r="L26" s="449">
        <f t="shared" si="12"/>
        <v>0</v>
      </c>
      <c r="M26" s="449">
        <f t="shared" si="13"/>
        <v>0</v>
      </c>
      <c r="N26" s="449">
        <f t="shared" si="14"/>
        <v>0</v>
      </c>
      <c r="O26" s="449">
        <f t="shared" si="15"/>
        <v>0</v>
      </c>
      <c r="P26" s="450">
        <f t="shared" si="16"/>
        <v>0</v>
      </c>
      <c r="Q26" s="448">
        <f t="shared" ca="1" si="17"/>
        <v>28416.085297856207</v>
      </c>
    </row>
    <row r="27" spans="1:17" s="454" customFormat="1">
      <c r="A27" s="452" t="s">
        <v>568</v>
      </c>
      <c r="B27" s="760">
        <f t="shared" ca="1" si="2"/>
        <v>3.7032690709301876</v>
      </c>
      <c r="C27" s="453">
        <f t="shared" ca="1" si="3"/>
        <v>0</v>
      </c>
      <c r="D27" s="453">
        <f t="shared" si="4"/>
        <v>4.8538618131636948</v>
      </c>
      <c r="E27" s="453">
        <f t="shared" si="5"/>
        <v>394.02641568723868</v>
      </c>
      <c r="F27" s="453">
        <f t="shared" si="6"/>
        <v>0</v>
      </c>
      <c r="G27" s="453">
        <f t="shared" si="7"/>
        <v>148693.11529381262</v>
      </c>
      <c r="H27" s="453">
        <f t="shared" si="8"/>
        <v>14861.233035781779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163956.93187616573</v>
      </c>
    </row>
    <row r="28" spans="1:17">
      <c r="A28" s="448" t="s">
        <v>558</v>
      </c>
      <c r="B28" s="449">
        <f t="shared" ca="1" si="2"/>
        <v>3.5387548103288764</v>
      </c>
      <c r="C28" s="449">
        <f t="shared" ca="1" si="3"/>
        <v>0</v>
      </c>
      <c r="D28" s="449">
        <f t="shared" si="4"/>
        <v>0</v>
      </c>
      <c r="E28" s="449">
        <f t="shared" si="5"/>
        <v>0</v>
      </c>
      <c r="F28" s="449">
        <f t="shared" si="6"/>
        <v>0</v>
      </c>
      <c r="G28" s="449">
        <f t="shared" si="7"/>
        <v>1072.8219459803861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1076.3607007907149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581.78065593424958</v>
      </c>
      <c r="C32" s="449">
        <f t="shared" ca="1" si="3"/>
        <v>0</v>
      </c>
      <c r="D32" s="449">
        <f t="shared" si="4"/>
        <v>1441.0876209715773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2022.8682769058269</v>
      </c>
    </row>
    <row r="33" spans="1:17" s="461" customFormat="1">
      <c r="A33" s="458" t="s">
        <v>562</v>
      </c>
      <c r="B33" s="459">
        <f ca="1">SUM(B22:B32)</f>
        <v>60992.951014099592</v>
      </c>
      <c r="C33" s="459">
        <f t="shared" ref="C33:Q33" ca="1" si="18">SUM(C22:C32)</f>
        <v>17956.951260504211</v>
      </c>
      <c r="D33" s="459">
        <f t="shared" ca="1" si="18"/>
        <v>63639.567205432402</v>
      </c>
      <c r="E33" s="459">
        <f t="shared" si="18"/>
        <v>1461.795053101644</v>
      </c>
      <c r="F33" s="459">
        <f t="shared" ca="1" si="18"/>
        <v>44579.333026457032</v>
      </c>
      <c r="G33" s="459">
        <f t="shared" si="18"/>
        <v>149765.93723979301</v>
      </c>
      <c r="H33" s="459">
        <f t="shared" si="18"/>
        <v>14861.233035781779</v>
      </c>
      <c r="I33" s="459">
        <f t="shared" si="18"/>
        <v>0</v>
      </c>
      <c r="J33" s="459">
        <f t="shared" si="18"/>
        <v>1159.0318428207399</v>
      </c>
      <c r="K33" s="459">
        <f t="shared" si="18"/>
        <v>0</v>
      </c>
      <c r="L33" s="459">
        <f t="shared" ca="1" si="18"/>
        <v>0</v>
      </c>
      <c r="M33" s="459">
        <f t="shared" si="18"/>
        <v>0</v>
      </c>
      <c r="N33" s="459">
        <f t="shared" ca="1" si="18"/>
        <v>0</v>
      </c>
      <c r="O33" s="459">
        <f t="shared" si="18"/>
        <v>0</v>
      </c>
      <c r="P33" s="459">
        <f t="shared" si="18"/>
        <v>0</v>
      </c>
      <c r="Q33" s="459">
        <f t="shared" ca="1" si="18"/>
        <v>354416.79967799044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24418.1471811351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36443.264940518719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11388.599999999999</v>
      </c>
      <c r="C8" s="1015">
        <f>'SEAP template'!C76</f>
        <v>52892.999999999993</v>
      </c>
      <c r="D8" s="1015">
        <f>'SEAP template'!D76</f>
        <v>62227.058823529427</v>
      </c>
      <c r="E8" s="1015">
        <f>'SEAP template'!E76</f>
        <v>0</v>
      </c>
      <c r="F8" s="1015">
        <f>'SEAP template'!F76</f>
        <v>0</v>
      </c>
      <c r="G8" s="1015">
        <f>'SEAP template'!G76</f>
        <v>0</v>
      </c>
      <c r="H8" s="1015">
        <f>'SEAP template'!H76</f>
        <v>0</v>
      </c>
      <c r="I8" s="1015">
        <f>'SEAP template'!I76</f>
        <v>0</v>
      </c>
      <c r="J8" s="1015">
        <f>'SEAP template'!J76</f>
        <v>13398.352941176474</v>
      </c>
      <c r="K8" s="1015">
        <f>'SEAP template'!K76</f>
        <v>0</v>
      </c>
      <c r="L8" s="1015">
        <f>'SEAP template'!L76</f>
        <v>0</v>
      </c>
      <c r="M8" s="1015">
        <f>'SEAP template'!M76</f>
        <v>0</v>
      </c>
      <c r="N8" s="1015">
        <f>'SEAP template'!N76</f>
        <v>0</v>
      </c>
      <c r="O8" s="1015">
        <f>'SEAP template'!O76</f>
        <v>0</v>
      </c>
      <c r="P8" s="1016">
        <f>'SEAP template'!Q76</f>
        <v>12569.865882352946</v>
      </c>
    </row>
    <row r="9" spans="1:16">
      <c r="A9" s="1018" t="s">
        <v>891</v>
      </c>
      <c r="B9" s="1015">
        <f>'SEAP template'!B77</f>
        <v>2970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8485.7142857142862</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75220.012121653825</v>
      </c>
      <c r="C10" s="1019">
        <f>SUM(C4:C9)</f>
        <v>52892.999999999993</v>
      </c>
      <c r="D10" s="1019">
        <f t="shared" ref="D10:H10" si="0">SUM(D8:D9)</f>
        <v>62227.058823529427</v>
      </c>
      <c r="E10" s="1019">
        <f t="shared" si="0"/>
        <v>0</v>
      </c>
      <c r="F10" s="1019">
        <f t="shared" si="0"/>
        <v>0</v>
      </c>
      <c r="G10" s="1019">
        <f t="shared" si="0"/>
        <v>0</v>
      </c>
      <c r="H10" s="1019">
        <f t="shared" si="0"/>
        <v>0</v>
      </c>
      <c r="I10" s="1019">
        <f>SUM(I8:I9)</f>
        <v>0</v>
      </c>
      <c r="J10" s="1019">
        <f>SUM(J8:J9)</f>
        <v>21884.067226890758</v>
      </c>
      <c r="K10" s="1019">
        <f t="shared" ref="K10:L10" si="1">SUM(K8:K9)</f>
        <v>0</v>
      </c>
      <c r="L10" s="1019">
        <f t="shared" si="1"/>
        <v>0</v>
      </c>
      <c r="M10" s="1019">
        <f>SUM(M8:M9)</f>
        <v>0</v>
      </c>
      <c r="N10" s="1019">
        <f>SUM(N8:N9)</f>
        <v>0</v>
      </c>
      <c r="O10" s="1019">
        <f>SUM(O8:O9)</f>
        <v>0</v>
      </c>
      <c r="P10" s="1019">
        <f>SUM(P8:P9)</f>
        <v>12569.865882352946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0.17565981406551912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16269.428571428572</v>
      </c>
      <c r="C17" s="1022">
        <f>'SEAP template'!C87</f>
        <v>75561.42857142858</v>
      </c>
      <c r="D17" s="1016">
        <f>'SEAP template'!D87</f>
        <v>88895.798319327747</v>
      </c>
      <c r="E17" s="1016">
        <f>'SEAP template'!E87</f>
        <v>0</v>
      </c>
      <c r="F17" s="1016">
        <f>'SEAP template'!F87</f>
        <v>0</v>
      </c>
      <c r="G17" s="1016">
        <f>'SEAP template'!G87</f>
        <v>0</v>
      </c>
      <c r="H17" s="1016">
        <f>'SEAP template'!H87</f>
        <v>0</v>
      </c>
      <c r="I17" s="1016">
        <f>'SEAP template'!I87</f>
        <v>0</v>
      </c>
      <c r="J17" s="1016">
        <f>'SEAP template'!J87</f>
        <v>19140.504201680676</v>
      </c>
      <c r="K17" s="1016">
        <f>'SEAP template'!K87</f>
        <v>0</v>
      </c>
      <c r="L17" s="1016">
        <f>'SEAP template'!L87</f>
        <v>0</v>
      </c>
      <c r="M17" s="1016">
        <f>'SEAP template'!M87</f>
        <v>0</v>
      </c>
      <c r="N17" s="1016">
        <f>'SEAP template'!N87</f>
        <v>0</v>
      </c>
      <c r="O17" s="1016">
        <f>'SEAP template'!O87</f>
        <v>0</v>
      </c>
      <c r="P17" s="1016">
        <f>'SEAP template'!Q87</f>
        <v>17956.951260504207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16269.428571428572</v>
      </c>
      <c r="C20" s="1019">
        <f>SUM(C17:C19)</f>
        <v>75561.42857142858</v>
      </c>
      <c r="D20" s="1019">
        <f t="shared" ref="D20:H20" si="2">SUM(D17:D19)</f>
        <v>88895.798319327747</v>
      </c>
      <c r="E20" s="1019">
        <f t="shared" si="2"/>
        <v>0</v>
      </c>
      <c r="F20" s="1019">
        <f t="shared" si="2"/>
        <v>0</v>
      </c>
      <c r="G20" s="1019">
        <f t="shared" si="2"/>
        <v>0</v>
      </c>
      <c r="H20" s="1019">
        <f t="shared" si="2"/>
        <v>0</v>
      </c>
      <c r="I20" s="1019">
        <f>SUM(I17:I19)</f>
        <v>0</v>
      </c>
      <c r="J20" s="1019">
        <f>SUM(J17:J19)</f>
        <v>19140.504201680676</v>
      </c>
      <c r="K20" s="1019">
        <f t="shared" ref="K20:L20" si="3">SUM(K17:K19)</f>
        <v>0</v>
      </c>
      <c r="L20" s="1019">
        <f t="shared" si="3"/>
        <v>0</v>
      </c>
      <c r="M20" s="1019">
        <f>SUM(M17:M19)</f>
        <v>0</v>
      </c>
      <c r="N20" s="1019">
        <f>SUM(N17:N19)</f>
        <v>0</v>
      </c>
      <c r="O20" s="1019">
        <f>SUM(O17:O19)</f>
        <v>0</v>
      </c>
      <c r="P20" s="1019">
        <f>SUM(P17:P19)</f>
        <v>17956.951260504207</v>
      </c>
    </row>
    <row r="22" spans="1:16">
      <c r="A22" s="462" t="s">
        <v>899</v>
      </c>
      <c r="B22" s="766" t="s">
        <v>893</v>
      </c>
      <c r="C22" s="766">
        <f ca="1">'EF ele_warmte'!B22</f>
        <v>0.19554376185958264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0.17565981406551912</v>
      </c>
      <c r="C17" s="498">
        <f ca="1">'EF ele_warmte'!B22</f>
        <v>0.19554376185958264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0.17565981406551912</v>
      </c>
      <c r="C17" s="498">
        <f ca="1">'EF ele_warmte'!B22</f>
        <v>0.19554376185958264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0.17565981406551912</v>
      </c>
      <c r="C29" s="499">
        <f ca="1">'EF ele_warmte'!B22</f>
        <v>0.19554376185958264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19238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7179</v>
      </c>
      <c r="C14" s="327"/>
      <c r="D14" s="327"/>
      <c r="E14" s="327"/>
      <c r="F14" s="327"/>
    </row>
    <row r="15" spans="1:6">
      <c r="A15" s="1295" t="s">
        <v>183</v>
      </c>
      <c r="B15" s="1296">
        <v>24</v>
      </c>
      <c r="C15" s="327"/>
      <c r="D15" s="327"/>
      <c r="E15" s="327"/>
      <c r="F15" s="327"/>
    </row>
    <row r="16" spans="1:6">
      <c r="A16" s="1295" t="s">
        <v>6</v>
      </c>
      <c r="B16" s="1296">
        <v>1637</v>
      </c>
      <c r="C16" s="327"/>
      <c r="D16" s="327"/>
      <c r="E16" s="327"/>
      <c r="F16" s="327"/>
    </row>
    <row r="17" spans="1:6">
      <c r="A17" s="1295" t="s">
        <v>7</v>
      </c>
      <c r="B17" s="1296">
        <v>2170</v>
      </c>
      <c r="C17" s="327"/>
      <c r="D17" s="327"/>
      <c r="E17" s="327"/>
      <c r="F17" s="327"/>
    </row>
    <row r="18" spans="1:6">
      <c r="A18" s="1295" t="s">
        <v>8</v>
      </c>
      <c r="B18" s="1296">
        <v>3079</v>
      </c>
      <c r="C18" s="327"/>
      <c r="D18" s="327"/>
      <c r="E18" s="327"/>
      <c r="F18" s="327"/>
    </row>
    <row r="19" spans="1:6">
      <c r="A19" s="1295" t="s">
        <v>9</v>
      </c>
      <c r="B19" s="1296">
        <v>3070</v>
      </c>
      <c r="C19" s="327"/>
      <c r="D19" s="327"/>
      <c r="E19" s="327"/>
      <c r="F19" s="327"/>
    </row>
    <row r="20" spans="1:6">
      <c r="A20" s="1295" t="s">
        <v>10</v>
      </c>
      <c r="B20" s="1296">
        <v>1927</v>
      </c>
      <c r="C20" s="327"/>
      <c r="D20" s="327"/>
      <c r="E20" s="327"/>
      <c r="F20" s="327"/>
    </row>
    <row r="21" spans="1:6">
      <c r="A21" s="1295" t="s">
        <v>11</v>
      </c>
      <c r="B21" s="1296">
        <v>22983</v>
      </c>
      <c r="C21" s="327"/>
      <c r="D21" s="327"/>
      <c r="E21" s="327"/>
      <c r="F21" s="327"/>
    </row>
    <row r="22" spans="1:6">
      <c r="A22" s="1295" t="s">
        <v>12</v>
      </c>
      <c r="B22" s="1296">
        <v>55071</v>
      </c>
      <c r="C22" s="327"/>
      <c r="D22" s="327"/>
      <c r="E22" s="327"/>
      <c r="F22" s="327"/>
    </row>
    <row r="23" spans="1:6">
      <c r="A23" s="1295" t="s">
        <v>13</v>
      </c>
      <c r="B23" s="1296">
        <v>1148</v>
      </c>
      <c r="C23" s="327"/>
      <c r="D23" s="327"/>
      <c r="E23" s="327"/>
      <c r="F23" s="327"/>
    </row>
    <row r="24" spans="1:6">
      <c r="A24" s="1295" t="s">
        <v>14</v>
      </c>
      <c r="B24" s="1296">
        <v>55</v>
      </c>
      <c r="C24" s="327"/>
      <c r="D24" s="327"/>
      <c r="E24" s="327"/>
      <c r="F24" s="327"/>
    </row>
    <row r="25" spans="1:6">
      <c r="A25" s="1295" t="s">
        <v>15</v>
      </c>
      <c r="B25" s="1296">
        <v>6658</v>
      </c>
      <c r="C25" s="327"/>
      <c r="D25" s="327"/>
      <c r="E25" s="327"/>
      <c r="F25" s="327"/>
    </row>
    <row r="26" spans="1:6">
      <c r="A26" s="1295" t="s">
        <v>16</v>
      </c>
      <c r="B26" s="1296">
        <v>133</v>
      </c>
      <c r="C26" s="327"/>
      <c r="D26" s="327"/>
      <c r="E26" s="327"/>
      <c r="F26" s="327"/>
    </row>
    <row r="27" spans="1:6">
      <c r="A27" s="1295" t="s">
        <v>17</v>
      </c>
      <c r="B27" s="1296">
        <v>2</v>
      </c>
      <c r="C27" s="327"/>
      <c r="D27" s="327"/>
      <c r="E27" s="327"/>
      <c r="F27" s="327"/>
    </row>
    <row r="28" spans="1:6" s="44" customFormat="1">
      <c r="A28" s="1297" t="s">
        <v>18</v>
      </c>
      <c r="B28" s="1298">
        <v>497174</v>
      </c>
      <c r="C28" s="333"/>
      <c r="D28" s="333"/>
      <c r="E28" s="333"/>
      <c r="F28" s="333"/>
    </row>
    <row r="29" spans="1:6">
      <c r="A29" s="1297" t="s">
        <v>961</v>
      </c>
      <c r="B29" s="1298">
        <v>310</v>
      </c>
      <c r="C29" s="333"/>
      <c r="D29" s="333"/>
      <c r="E29" s="333"/>
      <c r="F29" s="333"/>
    </row>
    <row r="30" spans="1:6">
      <c r="A30" s="1290" t="s">
        <v>962</v>
      </c>
      <c r="B30" s="1299">
        <v>94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7</v>
      </c>
      <c r="F35" s="1296">
        <v>210967.13494994899</v>
      </c>
    </row>
    <row r="36" spans="1:6">
      <c r="A36" s="1295" t="s">
        <v>24</v>
      </c>
      <c r="B36" s="1295" t="s">
        <v>26</v>
      </c>
      <c r="C36" s="1296">
        <v>0</v>
      </c>
      <c r="D36" s="1296">
        <v>0</v>
      </c>
      <c r="E36" s="1296">
        <v>48</v>
      </c>
      <c r="F36" s="1296">
        <v>2666191.3431651201</v>
      </c>
    </row>
    <row r="37" spans="1:6">
      <c r="A37" s="1295" t="s">
        <v>24</v>
      </c>
      <c r="B37" s="1295" t="s">
        <v>27</v>
      </c>
      <c r="C37" s="1296">
        <v>0</v>
      </c>
      <c r="D37" s="1296">
        <v>0</v>
      </c>
      <c r="E37" s="1296">
        <v>0</v>
      </c>
      <c r="F37" s="1296">
        <v>0</v>
      </c>
    </row>
    <row r="38" spans="1:6">
      <c r="A38" s="1295" t="s">
        <v>24</v>
      </c>
      <c r="B38" s="1295" t="s">
        <v>28</v>
      </c>
      <c r="C38" s="1296">
        <v>5</v>
      </c>
      <c r="D38" s="1296">
        <v>23540730.413959499</v>
      </c>
      <c r="E38" s="1296">
        <v>5</v>
      </c>
      <c r="F38" s="1296">
        <v>77591.75045444</v>
      </c>
    </row>
    <row r="39" spans="1:6">
      <c r="A39" s="1295" t="s">
        <v>29</v>
      </c>
      <c r="B39" s="1295" t="s">
        <v>30</v>
      </c>
      <c r="C39" s="1296">
        <v>13891</v>
      </c>
      <c r="D39" s="1296">
        <v>237123357.236702</v>
      </c>
      <c r="E39" s="1296">
        <v>18983</v>
      </c>
      <c r="F39" s="1296">
        <v>89873256.320656002</v>
      </c>
    </row>
    <row r="40" spans="1:6">
      <c r="A40" s="1295" t="s">
        <v>29</v>
      </c>
      <c r="B40" s="1295" t="s">
        <v>28</v>
      </c>
      <c r="C40" s="1296">
        <v>0</v>
      </c>
      <c r="D40" s="1296">
        <v>0</v>
      </c>
      <c r="E40" s="1296">
        <v>0</v>
      </c>
      <c r="F40" s="1296">
        <v>0</v>
      </c>
    </row>
    <row r="41" spans="1:6">
      <c r="A41" s="1295" t="s">
        <v>31</v>
      </c>
      <c r="B41" s="1295" t="s">
        <v>32</v>
      </c>
      <c r="C41" s="1296">
        <v>134</v>
      </c>
      <c r="D41" s="1296">
        <v>3584384.2584788501</v>
      </c>
      <c r="E41" s="1296">
        <v>342</v>
      </c>
      <c r="F41" s="1296">
        <v>6324566.94262762</v>
      </c>
    </row>
    <row r="42" spans="1:6">
      <c r="A42" s="1295" t="s">
        <v>31</v>
      </c>
      <c r="B42" s="1295" t="s">
        <v>33</v>
      </c>
      <c r="C42" s="1296">
        <v>0</v>
      </c>
      <c r="D42" s="1296">
        <v>0</v>
      </c>
      <c r="E42" s="1296">
        <v>6</v>
      </c>
      <c r="F42" s="1296">
        <v>16766887.590467799</v>
      </c>
    </row>
    <row r="43" spans="1:6">
      <c r="A43" s="1295" t="s">
        <v>31</v>
      </c>
      <c r="B43" s="1295" t="s">
        <v>34</v>
      </c>
      <c r="C43" s="1296">
        <v>0</v>
      </c>
      <c r="D43" s="1296">
        <v>0</v>
      </c>
      <c r="E43" s="1296">
        <v>0</v>
      </c>
      <c r="F43" s="1296">
        <v>0</v>
      </c>
    </row>
    <row r="44" spans="1:6">
      <c r="A44" s="1295" t="s">
        <v>31</v>
      </c>
      <c r="B44" s="1295" t="s">
        <v>35</v>
      </c>
      <c r="C44" s="1296">
        <v>0</v>
      </c>
      <c r="D44" s="1296">
        <v>0</v>
      </c>
      <c r="E44" s="1296">
        <v>31</v>
      </c>
      <c r="F44" s="1296">
        <v>749053.53848814697</v>
      </c>
    </row>
    <row r="45" spans="1:6">
      <c r="A45" s="1295" t="s">
        <v>31</v>
      </c>
      <c r="B45" s="1295" t="s">
        <v>36</v>
      </c>
      <c r="C45" s="1296">
        <v>3</v>
      </c>
      <c r="D45" s="1296">
        <v>62054.7026314127</v>
      </c>
      <c r="E45" s="1296">
        <v>3</v>
      </c>
      <c r="F45" s="1296">
        <v>52676.364887824697</v>
      </c>
    </row>
    <row r="46" spans="1:6">
      <c r="A46" s="1295" t="s">
        <v>31</v>
      </c>
      <c r="B46" s="1295" t="s">
        <v>37</v>
      </c>
      <c r="C46" s="1296">
        <v>0</v>
      </c>
      <c r="D46" s="1296">
        <v>0</v>
      </c>
      <c r="E46" s="1296">
        <v>0</v>
      </c>
      <c r="F46" s="1296">
        <v>0</v>
      </c>
    </row>
    <row r="47" spans="1:6">
      <c r="A47" s="1295" t="s">
        <v>31</v>
      </c>
      <c r="B47" s="1295" t="s">
        <v>38</v>
      </c>
      <c r="C47" s="1296">
        <v>4</v>
      </c>
      <c r="D47" s="1296">
        <v>178385.98340937999</v>
      </c>
      <c r="E47" s="1296">
        <v>12</v>
      </c>
      <c r="F47" s="1296">
        <v>222494.19185083901</v>
      </c>
    </row>
    <row r="48" spans="1:6">
      <c r="A48" s="1295" t="s">
        <v>31</v>
      </c>
      <c r="B48" s="1295" t="s">
        <v>28</v>
      </c>
      <c r="C48" s="1296">
        <v>56</v>
      </c>
      <c r="D48" s="1296">
        <v>27943652.3234015</v>
      </c>
      <c r="E48" s="1296">
        <v>69</v>
      </c>
      <c r="F48" s="1296">
        <v>68130645.918039799</v>
      </c>
    </row>
    <row r="49" spans="1:6">
      <c r="A49" s="1295" t="s">
        <v>31</v>
      </c>
      <c r="B49" s="1295" t="s">
        <v>39</v>
      </c>
      <c r="C49" s="1296">
        <v>6</v>
      </c>
      <c r="D49" s="1296">
        <v>90135.097625859096</v>
      </c>
      <c r="E49" s="1296">
        <v>13</v>
      </c>
      <c r="F49" s="1296">
        <v>147279.656876644</v>
      </c>
    </row>
    <row r="50" spans="1:6">
      <c r="A50" s="1295" t="s">
        <v>31</v>
      </c>
      <c r="B50" s="1295" t="s">
        <v>40</v>
      </c>
      <c r="C50" s="1296">
        <v>22</v>
      </c>
      <c r="D50" s="1296">
        <v>1233504.97998629</v>
      </c>
      <c r="E50" s="1296">
        <v>30</v>
      </c>
      <c r="F50" s="1296">
        <v>1347106.64683818</v>
      </c>
    </row>
    <row r="51" spans="1:6">
      <c r="A51" s="1295" t="s">
        <v>41</v>
      </c>
      <c r="B51" s="1295" t="s">
        <v>42</v>
      </c>
      <c r="C51" s="1296">
        <v>50</v>
      </c>
      <c r="D51" s="1296">
        <v>154810312.21121901</v>
      </c>
      <c r="E51" s="1296">
        <v>355</v>
      </c>
      <c r="F51" s="1296">
        <v>9346360.2840732504</v>
      </c>
    </row>
    <row r="52" spans="1:6">
      <c r="A52" s="1295" t="s">
        <v>41</v>
      </c>
      <c r="B52" s="1295" t="s">
        <v>28</v>
      </c>
      <c r="C52" s="1296">
        <v>9</v>
      </c>
      <c r="D52" s="1296">
        <v>146685.60155448</v>
      </c>
      <c r="E52" s="1296">
        <v>10</v>
      </c>
      <c r="F52" s="1296">
        <v>276050.69942253601</v>
      </c>
    </row>
    <row r="53" spans="1:6">
      <c r="A53" s="1295" t="s">
        <v>43</v>
      </c>
      <c r="B53" s="1295" t="s">
        <v>44</v>
      </c>
      <c r="C53" s="1296">
        <v>311</v>
      </c>
      <c r="D53" s="1296">
        <v>7134097.1335226595</v>
      </c>
      <c r="E53" s="1296">
        <v>575</v>
      </c>
      <c r="F53" s="1296">
        <v>3311973.5383373001</v>
      </c>
    </row>
    <row r="54" spans="1:6">
      <c r="A54" s="1295" t="s">
        <v>45</v>
      </c>
      <c r="B54" s="1295" t="s">
        <v>46</v>
      </c>
      <c r="C54" s="1296">
        <v>0</v>
      </c>
      <c r="D54" s="1296">
        <v>0</v>
      </c>
      <c r="E54" s="1296">
        <v>1</v>
      </c>
      <c r="F54" s="1296">
        <v>3103766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112</v>
      </c>
      <c r="D57" s="1296">
        <v>6019658.2784738699</v>
      </c>
      <c r="E57" s="1296">
        <v>194</v>
      </c>
      <c r="F57" s="1296">
        <v>7361506.6942773899</v>
      </c>
    </row>
    <row r="58" spans="1:6">
      <c r="A58" s="1295" t="s">
        <v>48</v>
      </c>
      <c r="B58" s="1295" t="s">
        <v>50</v>
      </c>
      <c r="C58" s="1296">
        <v>38</v>
      </c>
      <c r="D58" s="1296">
        <v>1352035.80045318</v>
      </c>
      <c r="E58" s="1296">
        <v>52</v>
      </c>
      <c r="F58" s="1296">
        <v>965526.53678412596</v>
      </c>
    </row>
    <row r="59" spans="1:6">
      <c r="A59" s="1295" t="s">
        <v>48</v>
      </c>
      <c r="B59" s="1295" t="s">
        <v>51</v>
      </c>
      <c r="C59" s="1296">
        <v>280</v>
      </c>
      <c r="D59" s="1296">
        <v>12151877.784588801</v>
      </c>
      <c r="E59" s="1296">
        <v>556</v>
      </c>
      <c r="F59" s="1296">
        <v>23246423.333588</v>
      </c>
    </row>
    <row r="60" spans="1:6">
      <c r="A60" s="1295" t="s">
        <v>48</v>
      </c>
      <c r="B60" s="1295" t="s">
        <v>52</v>
      </c>
      <c r="C60" s="1296">
        <v>114</v>
      </c>
      <c r="D60" s="1296">
        <v>5461693.3374202503</v>
      </c>
      <c r="E60" s="1296">
        <v>165</v>
      </c>
      <c r="F60" s="1296">
        <v>4604735.7402082598</v>
      </c>
    </row>
    <row r="61" spans="1:6">
      <c r="A61" s="1295" t="s">
        <v>48</v>
      </c>
      <c r="B61" s="1295" t="s">
        <v>53</v>
      </c>
      <c r="C61" s="1296">
        <v>326</v>
      </c>
      <c r="D61" s="1296">
        <v>29420499.9017867</v>
      </c>
      <c r="E61" s="1296">
        <v>948</v>
      </c>
      <c r="F61" s="1296">
        <v>83561226.283099994</v>
      </c>
    </row>
    <row r="62" spans="1:6">
      <c r="A62" s="1295" t="s">
        <v>48</v>
      </c>
      <c r="B62" s="1295" t="s">
        <v>54</v>
      </c>
      <c r="C62" s="1296">
        <v>8</v>
      </c>
      <c r="D62" s="1296">
        <v>348666.662646243</v>
      </c>
      <c r="E62" s="1296">
        <v>29</v>
      </c>
      <c r="F62" s="1296">
        <v>864336.34474867699</v>
      </c>
    </row>
    <row r="63" spans="1:6">
      <c r="A63" s="1295" t="s">
        <v>48</v>
      </c>
      <c r="B63" s="1295" t="s">
        <v>28</v>
      </c>
      <c r="C63" s="1296">
        <v>149</v>
      </c>
      <c r="D63" s="1296">
        <v>19178755.951273799</v>
      </c>
      <c r="E63" s="1296">
        <v>162</v>
      </c>
      <c r="F63" s="1296">
        <v>14094119.277299</v>
      </c>
    </row>
    <row r="64" spans="1:6">
      <c r="A64" s="1295" t="s">
        <v>55</v>
      </c>
      <c r="B64" s="1295" t="s">
        <v>56</v>
      </c>
      <c r="C64" s="1296">
        <v>0</v>
      </c>
      <c r="D64" s="1296">
        <v>0</v>
      </c>
      <c r="E64" s="1296">
        <v>0</v>
      </c>
      <c r="F64" s="1296">
        <v>0</v>
      </c>
    </row>
    <row r="65" spans="1:6">
      <c r="A65" s="1295" t="s">
        <v>55</v>
      </c>
      <c r="B65" s="1295" t="s">
        <v>28</v>
      </c>
      <c r="C65" s="1296">
        <v>5</v>
      </c>
      <c r="D65" s="1296">
        <v>115726.016322703</v>
      </c>
      <c r="E65" s="1296">
        <v>6</v>
      </c>
      <c r="F65" s="1296">
        <v>89129.129241505099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11</v>
      </c>
      <c r="D68" s="1299">
        <v>466392.52492995001</v>
      </c>
      <c r="E68" s="1299">
        <v>50</v>
      </c>
      <c r="F68" s="1299">
        <v>1317893.5518322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113268719</v>
      </c>
      <c r="E73" s="447"/>
      <c r="F73" s="327"/>
    </row>
    <row r="74" spans="1:6">
      <c r="A74" s="1295" t="s">
        <v>63</v>
      </c>
      <c r="B74" s="1295" t="s">
        <v>755</v>
      </c>
      <c r="C74" s="1309" t="s">
        <v>749</v>
      </c>
      <c r="D74" s="1310">
        <v>19582698.905107748</v>
      </c>
      <c r="E74" s="447"/>
      <c r="F74" s="327"/>
    </row>
    <row r="75" spans="1:6">
      <c r="A75" s="1295" t="s">
        <v>64</v>
      </c>
      <c r="B75" s="1295" t="s">
        <v>754</v>
      </c>
      <c r="C75" s="1309" t="s">
        <v>750</v>
      </c>
      <c r="D75" s="1310">
        <v>73326331</v>
      </c>
      <c r="E75" s="447"/>
      <c r="F75" s="327"/>
    </row>
    <row r="76" spans="1:6">
      <c r="A76" s="1295" t="s">
        <v>64</v>
      </c>
      <c r="B76" s="1295" t="s">
        <v>755</v>
      </c>
      <c r="C76" s="1309" t="s">
        <v>751</v>
      </c>
      <c r="D76" s="1310">
        <v>12510243.905107748</v>
      </c>
      <c r="E76" s="447"/>
      <c r="F76" s="327"/>
    </row>
    <row r="77" spans="1:6">
      <c r="A77" s="1295" t="s">
        <v>65</v>
      </c>
      <c r="B77" s="1295" t="s">
        <v>754</v>
      </c>
      <c r="C77" s="1309" t="s">
        <v>752</v>
      </c>
      <c r="D77" s="1310">
        <v>294553076</v>
      </c>
      <c r="E77" s="447"/>
      <c r="F77" s="327"/>
    </row>
    <row r="78" spans="1:6">
      <c r="A78" s="1290" t="s">
        <v>65</v>
      </c>
      <c r="B78" s="1290" t="s">
        <v>755</v>
      </c>
      <c r="C78" s="1290" t="s">
        <v>753</v>
      </c>
      <c r="D78" s="1311">
        <v>81065063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1109876.1897845031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24418.1471811351</v>
      </c>
      <c r="C90" s="327"/>
      <c r="D90" s="327"/>
      <c r="E90" s="327"/>
      <c r="F90" s="327"/>
    </row>
    <row r="91" spans="1:6">
      <c r="A91" s="1295" t="s">
        <v>67</v>
      </c>
      <c r="B91" s="1296">
        <v>8974.2751650253103</v>
      </c>
      <c r="C91" s="327"/>
      <c r="D91" s="327"/>
      <c r="E91" s="327"/>
      <c r="F91" s="327"/>
    </row>
    <row r="92" spans="1:6">
      <c r="A92" s="1290" t="s">
        <v>68</v>
      </c>
      <c r="B92" s="1291">
        <v>27468.989775493406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9871</v>
      </c>
      <c r="C97" s="327"/>
      <c r="D97" s="327"/>
      <c r="E97" s="327"/>
      <c r="F97" s="327"/>
    </row>
    <row r="98" spans="1:6">
      <c r="A98" s="1295" t="s">
        <v>71</v>
      </c>
      <c r="B98" s="1296">
        <v>3</v>
      </c>
      <c r="C98" s="327"/>
      <c r="D98" s="327"/>
      <c r="E98" s="327"/>
      <c r="F98" s="327"/>
    </row>
    <row r="99" spans="1:6">
      <c r="A99" s="1295" t="s">
        <v>72</v>
      </c>
      <c r="B99" s="1296">
        <v>133</v>
      </c>
      <c r="C99" s="327"/>
      <c r="D99" s="327"/>
      <c r="E99" s="327"/>
      <c r="F99" s="327"/>
    </row>
    <row r="100" spans="1:6">
      <c r="A100" s="1295" t="s">
        <v>73</v>
      </c>
      <c r="B100" s="1296">
        <v>2776</v>
      </c>
      <c r="C100" s="327"/>
      <c r="D100" s="327"/>
      <c r="E100" s="327"/>
      <c r="F100" s="327"/>
    </row>
    <row r="101" spans="1:6">
      <c r="A101" s="1295" t="s">
        <v>74</v>
      </c>
      <c r="B101" s="1296">
        <v>316</v>
      </c>
      <c r="C101" s="327"/>
      <c r="D101" s="327"/>
      <c r="E101" s="327"/>
      <c r="F101" s="327"/>
    </row>
    <row r="102" spans="1:6">
      <c r="A102" s="1295" t="s">
        <v>75</v>
      </c>
      <c r="B102" s="1296">
        <v>369</v>
      </c>
      <c r="C102" s="327"/>
      <c r="D102" s="327"/>
      <c r="E102" s="327"/>
      <c r="F102" s="327"/>
    </row>
    <row r="103" spans="1:6">
      <c r="A103" s="1295" t="s">
        <v>76</v>
      </c>
      <c r="B103" s="1296">
        <v>626</v>
      </c>
      <c r="C103" s="327"/>
      <c r="D103" s="327"/>
      <c r="E103" s="327"/>
      <c r="F103" s="327"/>
    </row>
    <row r="104" spans="1:6">
      <c r="A104" s="1295" t="s">
        <v>77</v>
      </c>
      <c r="B104" s="1296">
        <v>3115</v>
      </c>
      <c r="C104" s="327"/>
      <c r="D104" s="327"/>
      <c r="E104" s="327"/>
      <c r="F104" s="327"/>
    </row>
    <row r="105" spans="1:6">
      <c r="A105" s="1290" t="s">
        <v>78</v>
      </c>
      <c r="B105" s="1299">
        <v>19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25</v>
      </c>
      <c r="C123" s="1296">
        <v>63</v>
      </c>
      <c r="D123" s="327"/>
      <c r="E123" s="327"/>
      <c r="F123" s="327"/>
    </row>
    <row r="124" spans="1:6" s="44" customFormat="1">
      <c r="A124" s="1297" t="s">
        <v>88</v>
      </c>
      <c r="B124" s="1318">
        <v>0</v>
      </c>
      <c r="C124" s="1318">
        <v>3</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303</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347221.99461824499</v>
      </c>
      <c r="C3" s="44" t="s">
        <v>169</v>
      </c>
      <c r="D3" s="44"/>
      <c r="E3" s="157"/>
      <c r="F3" s="44"/>
      <c r="G3" s="44"/>
      <c r="H3" s="44"/>
      <c r="I3" s="44"/>
      <c r="J3" s="44"/>
      <c r="K3" s="97"/>
    </row>
    <row r="4" spans="1:11">
      <c r="A4" s="354" t="s">
        <v>170</v>
      </c>
      <c r="B4" s="50">
        <f>IF(ISERROR('SEAP template'!B78+'SEAP template'!C78),0,'SEAP template'!B78+'SEAP template'!C78)</f>
        <v>128113.01212165382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12569.865882352946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0.17565981406551912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17956.951260504207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91830.85714285713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0.19554376185958264</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3103.7660000000001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3103.7660000000001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0.17565981406551912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545.20695846288004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89873.256320656001</v>
      </c>
      <c r="C5" s="18">
        <f>IF(ISERROR('Eigen informatie GS &amp; warmtenet'!B57),0,'Eigen informatie GS &amp; warmtenet'!B57)</f>
        <v>0</v>
      </c>
      <c r="D5" s="31">
        <f>(SUM(HH_hh_gas_kWh,HH_rest_gas_kWh)/1000)*0.902</f>
        <v>213885.26822750521</v>
      </c>
      <c r="E5" s="18">
        <f>B32*B41</f>
        <v>3123.6144705116067</v>
      </c>
      <c r="F5" s="18">
        <f>B36*B45</f>
        <v>95229.936428933288</v>
      </c>
      <c r="G5" s="19"/>
      <c r="H5" s="18"/>
      <c r="I5" s="18"/>
      <c r="J5" s="18">
        <f>B35*B44+C35*C44</f>
        <v>1727.9140140283778</v>
      </c>
      <c r="K5" s="18"/>
      <c r="L5" s="18"/>
      <c r="M5" s="18"/>
      <c r="N5" s="18">
        <f>B34*B43+C34*C43</f>
        <v>26830.981085765059</v>
      </c>
      <c r="O5" s="18">
        <f>B52*B53*B54</f>
        <v>576.87</v>
      </c>
      <c r="P5" s="18">
        <f>B60*B61*B62/1000-B60*B61*B62/1000/B63</f>
        <v>686.4</v>
      </c>
    </row>
    <row r="6" spans="1:16">
      <c r="A6" s="17" t="s">
        <v>628</v>
      </c>
      <c r="B6" s="768">
        <f>kWh_PV_kleiner_dan_10kW</f>
        <v>8974.2751650253103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98847.531485681306</v>
      </c>
      <c r="C8" s="22">
        <f>C5</f>
        <v>0</v>
      </c>
      <c r="D8" s="22">
        <f>D5</f>
        <v>213885.26822750521</v>
      </c>
      <c r="E8" s="22">
        <f>E5</f>
        <v>3123.6144705116067</v>
      </c>
      <c r="F8" s="22">
        <f>F5</f>
        <v>95229.936428933288</v>
      </c>
      <c r="G8" s="22"/>
      <c r="H8" s="22"/>
      <c r="I8" s="22"/>
      <c r="J8" s="22">
        <f>J5</f>
        <v>1727.9140140283778</v>
      </c>
      <c r="K8" s="22"/>
      <c r="L8" s="22">
        <f>L5</f>
        <v>0</v>
      </c>
      <c r="M8" s="22">
        <f>M5</f>
        <v>0</v>
      </c>
      <c r="N8" s="22">
        <f>N5</f>
        <v>26830.981085765059</v>
      </c>
      <c r="O8" s="22">
        <f>O5</f>
        <v>576.87</v>
      </c>
      <c r="P8" s="22">
        <f>P5</f>
        <v>686.4</v>
      </c>
    </row>
    <row r="9" spans="1:16">
      <c r="B9" s="20"/>
      <c r="C9" s="20"/>
      <c r="D9" s="258"/>
      <c r="E9" s="20"/>
      <c r="F9" s="20"/>
      <c r="G9" s="20"/>
      <c r="H9" s="20"/>
      <c r="I9" s="20"/>
      <c r="J9" s="20"/>
      <c r="K9" s="20"/>
      <c r="L9" s="20"/>
      <c r="M9" s="20"/>
      <c r="N9" s="20"/>
      <c r="O9" s="20"/>
      <c r="P9" s="20"/>
    </row>
    <row r="10" spans="1:16">
      <c r="A10" s="25" t="s">
        <v>213</v>
      </c>
      <c r="B10" s="26">
        <f ca="1">'EF ele_warmte'!B12</f>
        <v>0.17565981406551912</v>
      </c>
      <c r="C10" s="26">
        <f ca="1">'EF ele_warmte'!B22</f>
        <v>0.19554376185958264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17363.539001610323</v>
      </c>
      <c r="C12" s="24">
        <f ca="1">C10*C8</f>
        <v>0</v>
      </c>
      <c r="D12" s="24">
        <f>D8*D10</f>
        <v>43204.824181956057</v>
      </c>
      <c r="E12" s="24">
        <f>E10*E8</f>
        <v>709.0604848061347</v>
      </c>
      <c r="F12" s="24">
        <f>F10*F8</f>
        <v>25426.393026525191</v>
      </c>
      <c r="G12" s="24"/>
      <c r="H12" s="24"/>
      <c r="I12" s="24"/>
      <c r="J12" s="24">
        <f>J10*J8</f>
        <v>611.68156096604571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19238</v>
      </c>
      <c r="C26" s="37"/>
      <c r="D26" s="228"/>
    </row>
    <row r="27" spans="1:5" s="16" customFormat="1">
      <c r="A27" s="230" t="s">
        <v>654</v>
      </c>
      <c r="B27" s="38">
        <f>SUM(HH_hh_gas_aantal,HH_rest_gas_aantal)</f>
        <v>13891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13196.45</v>
      </c>
      <c r="C31" s="35" t="s">
        <v>110</v>
      </c>
      <c r="D31" s="174"/>
    </row>
    <row r="32" spans="1:5">
      <c r="A32" s="171" t="s">
        <v>72</v>
      </c>
      <c r="B32" s="34">
        <f>IF((B21*($B$26-($B$27-0.05*$B$27)-$B$60))&lt;0,0,B21*($B$26-($B$27-0.05*$B$27)-$B$60))</f>
        <v>147.58837649486694</v>
      </c>
      <c r="C32" s="35" t="s">
        <v>110</v>
      </c>
      <c r="D32" s="174"/>
    </row>
    <row r="33" spans="1:6">
      <c r="A33" s="171" t="s">
        <v>73</v>
      </c>
      <c r="B33" s="34">
        <f>IF((B22*($B$26-($B$27-0.05*$B$27)-$B$60))&lt;0,0,B22*($B$26-($B$27-0.05*$B$27)-$B$60))</f>
        <v>993.44287128905967</v>
      </c>
      <c r="C33" s="35" t="s">
        <v>110</v>
      </c>
      <c r="D33" s="174"/>
    </row>
    <row r="34" spans="1:6">
      <c r="A34" s="171" t="s">
        <v>74</v>
      </c>
      <c r="B34" s="34">
        <f>IF((B24*($B$26-($B$27-0.05*$B$27)-$B$60))&lt;0,0,B24*($B$26-($B$27-0.05*$B$27)-$B$60))</f>
        <v>251.95805203726178</v>
      </c>
      <c r="C34" s="34">
        <f>B26*C24</f>
        <v>3934.2157796976121</v>
      </c>
      <c r="D34" s="233"/>
    </row>
    <row r="35" spans="1:6">
      <c r="A35" s="171" t="s">
        <v>76</v>
      </c>
      <c r="B35" s="34">
        <f>IF((B19*($B$26-($B$27-0.05*$B$27)-$B$60))&lt;0,0,B19*($B$26-($B$27-0.05*$B$27)-$B$60))</f>
        <v>93.670030308316285</v>
      </c>
      <c r="C35" s="34">
        <f>B35/2</f>
        <v>46.835015154158143</v>
      </c>
      <c r="D35" s="233"/>
    </row>
    <row r="36" spans="1:6">
      <c r="A36" s="171" t="s">
        <v>77</v>
      </c>
      <c r="B36" s="34">
        <f>IF((B18*($B$26-($B$27-0.05*$B$27)-$B$60))&lt;0,0,B18*($B$26-($B$27-0.05*$B$27)-$B$60))</f>
        <v>4518.8906698704932</v>
      </c>
      <c r="C36" s="35" t="s">
        <v>110</v>
      </c>
      <c r="D36" s="174"/>
    </row>
    <row r="37" spans="1:6">
      <c r="A37" s="171" t="s">
        <v>78</v>
      </c>
      <c r="B37" s="34">
        <f>B60</f>
        <v>36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369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134697.87421000542</v>
      </c>
      <c r="C5" s="18">
        <f>IF(ISERROR('Eigen informatie GS &amp; warmtenet'!B58),0,'Eigen informatie GS &amp; warmtenet'!B58)</f>
        <v>0</v>
      </c>
      <c r="D5" s="31">
        <f>SUM(D6:D12)</f>
        <v>66687.735320411855</v>
      </c>
      <c r="E5" s="18">
        <f>SUM(E6:E12)</f>
        <v>684.77028136314607</v>
      </c>
      <c r="F5" s="18">
        <f>SUM(F6:F12)</f>
        <v>21270.094719853227</v>
      </c>
      <c r="G5" s="19"/>
      <c r="H5" s="18"/>
      <c r="I5" s="18"/>
      <c r="J5" s="18">
        <f>SUM(J6:J12)</f>
        <v>0</v>
      </c>
      <c r="K5" s="18"/>
      <c r="L5" s="18"/>
      <c r="M5" s="18"/>
      <c r="N5" s="18">
        <f>SUM(N6:N12)</f>
        <v>5317.7274455560137</v>
      </c>
      <c r="O5" s="18">
        <f>B38*B39*B40</f>
        <v>4.6900000000000004</v>
      </c>
      <c r="P5" s="18">
        <f>B46*B47*B48/1000-B46*B47*B48/1000/B49</f>
        <v>19.066666666666666</v>
      </c>
      <c r="R5" s="33"/>
    </row>
    <row r="6" spans="1:18">
      <c r="A6" s="33" t="s">
        <v>53</v>
      </c>
      <c r="B6" s="38">
        <f>B26</f>
        <v>83561.226283099997</v>
      </c>
      <c r="C6" s="34"/>
      <c r="D6" s="38">
        <f>IF(ISERROR(TER_kantoor_gas_kWh/1000),0,TER_kantoor_gas_kWh/1000)*0.902</f>
        <v>26537.290911411605</v>
      </c>
      <c r="E6" s="34">
        <f>$C$26*'E Balans VL '!I12/100/3.6*1000000</f>
        <v>137.14090817304574</v>
      </c>
      <c r="F6" s="34">
        <f>$C$26*('E Balans VL '!L12+'E Balans VL '!N12)/100/3.6*1000000</f>
        <v>9849.9024898906064</v>
      </c>
      <c r="G6" s="35"/>
      <c r="H6" s="34"/>
      <c r="I6" s="34"/>
      <c r="J6" s="34">
        <f>$C$26*('E Balans VL '!D12+'E Balans VL '!E12)/100/3.6*1000000</f>
        <v>0</v>
      </c>
      <c r="K6" s="34"/>
      <c r="L6" s="34"/>
      <c r="M6" s="34"/>
      <c r="N6" s="34">
        <f>$C$26*'E Balans VL '!Y12/100/3.6*1000000</f>
        <v>16.883150075699398</v>
      </c>
      <c r="O6" s="34"/>
      <c r="P6" s="34"/>
      <c r="R6" s="33"/>
    </row>
    <row r="7" spans="1:18">
      <c r="A7" s="33" t="s">
        <v>52</v>
      </c>
      <c r="B7" s="38">
        <f t="shared" ref="B7:B12" si="0">B27</f>
        <v>4604.7357402082598</v>
      </c>
      <c r="C7" s="34"/>
      <c r="D7" s="38">
        <f>IF(ISERROR(TER_horeca_gas_kWh/1000),0,TER_horeca_gas_kWh/1000)*0.902</f>
        <v>4926.4473903530652</v>
      </c>
      <c r="E7" s="34">
        <f>$C$27*'E Balans VL '!I9/100/3.6*1000000</f>
        <v>238.95246433595861</v>
      </c>
      <c r="F7" s="34">
        <f>$C$27*('E Balans VL '!L9+'E Balans VL '!N9)/100/3.6*1000000</f>
        <v>1050.8040371283378</v>
      </c>
      <c r="G7" s="35"/>
      <c r="H7" s="34"/>
      <c r="I7" s="34"/>
      <c r="J7" s="34">
        <f>$C$27*('E Balans VL '!D9+'E Balans VL '!E9)/100/3.6*1000000</f>
        <v>0</v>
      </c>
      <c r="K7" s="34"/>
      <c r="L7" s="34"/>
      <c r="M7" s="34"/>
      <c r="N7" s="34">
        <f>$C$27*'E Balans VL '!Y9/100/3.6*1000000</f>
        <v>0.48625798395377617</v>
      </c>
      <c r="O7" s="34"/>
      <c r="P7" s="34"/>
      <c r="R7" s="33"/>
    </row>
    <row r="8" spans="1:18">
      <c r="A8" s="6" t="s">
        <v>51</v>
      </c>
      <c r="B8" s="38">
        <f t="shared" si="0"/>
        <v>23246.423333588002</v>
      </c>
      <c r="C8" s="34"/>
      <c r="D8" s="38">
        <f>IF(ISERROR(TER_handel_gas_kWh/1000),0,TER_handel_gas_kWh/1000)*0.902</f>
        <v>10960.993761699097</v>
      </c>
      <c r="E8" s="34">
        <f>$C$28*'E Balans VL '!I13/100/3.6*1000000</f>
        <v>125.18484625712551</v>
      </c>
      <c r="F8" s="34">
        <f>$C$28*('E Balans VL '!L13+'E Balans VL '!N13)/100/3.6*1000000</f>
        <v>4740.6365392000134</v>
      </c>
      <c r="G8" s="35"/>
      <c r="H8" s="34"/>
      <c r="I8" s="34"/>
      <c r="J8" s="34">
        <f>$C$28*('E Balans VL '!D13+'E Balans VL '!E13)/100/3.6*1000000</f>
        <v>0</v>
      </c>
      <c r="K8" s="34"/>
      <c r="L8" s="34"/>
      <c r="M8" s="34"/>
      <c r="N8" s="34">
        <f>$C$28*'E Balans VL '!Y13/100/3.6*1000000</f>
        <v>115.59218715348763</v>
      </c>
      <c r="O8" s="34"/>
      <c r="P8" s="34"/>
      <c r="R8" s="33"/>
    </row>
    <row r="9" spans="1:18">
      <c r="A9" s="33" t="s">
        <v>50</v>
      </c>
      <c r="B9" s="38">
        <f t="shared" si="0"/>
        <v>965.52653678412594</v>
      </c>
      <c r="C9" s="34"/>
      <c r="D9" s="38">
        <f>IF(ISERROR(TER_gezond_gas_kWh/1000),0,TER_gezond_gas_kWh/1000)*0.902</f>
        <v>1219.5362920087684</v>
      </c>
      <c r="E9" s="34">
        <f>$C$29*'E Balans VL '!I10/100/3.6*1000000</f>
        <v>0.95684777787540332</v>
      </c>
      <c r="F9" s="34">
        <f>$C$29*('E Balans VL '!L10+'E Balans VL '!N10)/100/3.6*1000000</f>
        <v>335.00987802935794</v>
      </c>
      <c r="G9" s="35"/>
      <c r="H9" s="34"/>
      <c r="I9" s="34"/>
      <c r="J9" s="34">
        <f>$C$29*('E Balans VL '!D10+'E Balans VL '!E10)/100/3.6*1000000</f>
        <v>0</v>
      </c>
      <c r="K9" s="34"/>
      <c r="L9" s="34"/>
      <c r="M9" s="34"/>
      <c r="N9" s="34">
        <f>$C$29*'E Balans VL '!Y10/100/3.6*1000000</f>
        <v>8.3198585243059444</v>
      </c>
      <c r="O9" s="34"/>
      <c r="P9" s="34"/>
      <c r="R9" s="33"/>
    </row>
    <row r="10" spans="1:18">
      <c r="A10" s="33" t="s">
        <v>49</v>
      </c>
      <c r="B10" s="38">
        <f t="shared" si="0"/>
        <v>7361.5066942773901</v>
      </c>
      <c r="C10" s="34"/>
      <c r="D10" s="38">
        <f>IF(ISERROR(TER_ander_gas_kWh/1000),0,TER_ander_gas_kWh/1000)*0.902</f>
        <v>5429.7317671834307</v>
      </c>
      <c r="E10" s="34">
        <f>$C$30*'E Balans VL '!I14/100/3.6*1000000</f>
        <v>60.224482061158845</v>
      </c>
      <c r="F10" s="34">
        <f>$C$30*('E Balans VL '!L14+'E Balans VL '!N14)/100/3.6*1000000</f>
        <v>2152.204858056687</v>
      </c>
      <c r="G10" s="35"/>
      <c r="H10" s="34"/>
      <c r="I10" s="34"/>
      <c r="J10" s="34">
        <f>$C$30*('E Balans VL '!D14+'E Balans VL '!E14)/100/3.6*1000000</f>
        <v>0</v>
      </c>
      <c r="K10" s="34"/>
      <c r="L10" s="34"/>
      <c r="M10" s="34"/>
      <c r="N10" s="34">
        <f>$C$30*'E Balans VL '!Y14/100/3.6*1000000</f>
        <v>4246.6234513056415</v>
      </c>
      <c r="O10" s="34"/>
      <c r="P10" s="34"/>
      <c r="R10" s="33"/>
    </row>
    <row r="11" spans="1:18">
      <c r="A11" s="33" t="s">
        <v>54</v>
      </c>
      <c r="B11" s="38">
        <f t="shared" si="0"/>
        <v>864.33634474867699</v>
      </c>
      <c r="C11" s="34"/>
      <c r="D11" s="38">
        <f>IF(ISERROR(TER_onderwijs_gas_kWh/1000),0,TER_onderwijs_gas_kWh/1000)*0.902</f>
        <v>314.49732970691122</v>
      </c>
      <c r="E11" s="34">
        <f>$C$31*'E Balans VL '!I11/100/3.6*1000000</f>
        <v>0.53274045293189454</v>
      </c>
      <c r="F11" s="34">
        <f>$C$31*('E Balans VL '!L11+'E Balans VL '!N11)/100/3.6*1000000</f>
        <v>334.16642852111852</v>
      </c>
      <c r="G11" s="35"/>
      <c r="H11" s="34"/>
      <c r="I11" s="34"/>
      <c r="J11" s="34">
        <f>$C$31*('E Balans VL '!D11+'E Balans VL '!E11)/100/3.6*1000000</f>
        <v>0</v>
      </c>
      <c r="K11" s="34"/>
      <c r="L11" s="34"/>
      <c r="M11" s="34"/>
      <c r="N11" s="34">
        <f>$C$31*'E Balans VL '!Y11/100/3.6*1000000</f>
        <v>2.8115009061435519</v>
      </c>
      <c r="O11" s="34"/>
      <c r="P11" s="34"/>
      <c r="R11" s="33"/>
    </row>
    <row r="12" spans="1:18">
      <c r="A12" s="33" t="s">
        <v>255</v>
      </c>
      <c r="B12" s="38">
        <f t="shared" si="0"/>
        <v>14094.119277299</v>
      </c>
      <c r="C12" s="34"/>
      <c r="D12" s="38">
        <f>IF(ISERROR(TER_rest_gas_kWh/1000),0,TER_rest_gas_kWh/1000)*0.902</f>
        <v>17299.237868048967</v>
      </c>
      <c r="E12" s="34">
        <f>$C$32*'E Balans VL '!I8/100/3.6*1000000</f>
        <v>121.77799230505013</v>
      </c>
      <c r="F12" s="34">
        <f>$C$32*('E Balans VL '!L8+'E Balans VL '!N8)/100/3.6*1000000</f>
        <v>2807.3704890271024</v>
      </c>
      <c r="G12" s="35"/>
      <c r="H12" s="34"/>
      <c r="I12" s="34"/>
      <c r="J12" s="34">
        <f>$C$32*('E Balans VL '!D8+'E Balans VL '!E8)/100/3.6*1000000</f>
        <v>0</v>
      </c>
      <c r="K12" s="34"/>
      <c r="L12" s="34"/>
      <c r="M12" s="34"/>
      <c r="N12" s="34">
        <f>$C$32*'E Balans VL '!Y8/100/3.6*1000000</f>
        <v>927.01103960678154</v>
      </c>
      <c r="O12" s="34"/>
      <c r="P12" s="34"/>
      <c r="R12" s="33"/>
    </row>
    <row r="13" spans="1:18">
      <c r="A13" s="17" t="s">
        <v>495</v>
      </c>
      <c r="B13" s="246">
        <f ca="1">'lokale energieproductie'!N45+'lokale energieproductie'!N38</f>
        <v>886.5</v>
      </c>
      <c r="C13" s="246">
        <f ca="1">'lokale energieproductie'!O45+'lokale energieproductie'!O38</f>
        <v>1266.4285714285716</v>
      </c>
      <c r="D13" s="305">
        <f ca="1">('lokale energieproductie'!P38+'lokale energieproductie'!P45)*(-1)</f>
        <v>-2532.8571428571431</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135584.37421000542</v>
      </c>
      <c r="C16" s="22">
        <f t="shared" ca="1" si="1"/>
        <v>1266.4285714285716</v>
      </c>
      <c r="D16" s="22">
        <f t="shared" ca="1" si="1"/>
        <v>64154.87817755471</v>
      </c>
      <c r="E16" s="22">
        <f t="shared" si="1"/>
        <v>684.77028136314607</v>
      </c>
      <c r="F16" s="22">
        <f t="shared" ca="1" si="1"/>
        <v>21270.094719853227</v>
      </c>
      <c r="G16" s="22">
        <f t="shared" si="1"/>
        <v>0</v>
      </c>
      <c r="H16" s="22">
        <f t="shared" si="1"/>
        <v>0</v>
      </c>
      <c r="I16" s="22">
        <f t="shared" si="1"/>
        <v>0</v>
      </c>
      <c r="J16" s="22">
        <f t="shared" si="1"/>
        <v>0</v>
      </c>
      <c r="K16" s="22">
        <f t="shared" si="1"/>
        <v>0</v>
      </c>
      <c r="L16" s="22">
        <f t="shared" ca="1" si="1"/>
        <v>0</v>
      </c>
      <c r="M16" s="22">
        <f t="shared" si="1"/>
        <v>0</v>
      </c>
      <c r="N16" s="22">
        <f t="shared" ca="1" si="1"/>
        <v>5317.7274455560137</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0.17565981406551912</v>
      </c>
      <c r="C18" s="26">
        <f ca="1">'EF ele_warmte'!B22</f>
        <v>0.19554376185958264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23816.725963919318</v>
      </c>
      <c r="C20" s="24">
        <f t="shared" ref="C20:P20" ca="1" si="2">C16*C18</f>
        <v>247.64220698360003</v>
      </c>
      <c r="D20" s="24">
        <f t="shared" ca="1" si="2"/>
        <v>12959.285391866053</v>
      </c>
      <c r="E20" s="24">
        <f t="shared" si="2"/>
        <v>155.44285386943417</v>
      </c>
      <c r="F20" s="24">
        <f t="shared" ca="1" si="2"/>
        <v>5679.1152902008116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83561.226283099997</v>
      </c>
      <c r="C26" s="40">
        <f>IF(ISERROR(B26*3.6/1000000/'E Balans VL '!Z12*100),0,B26*3.6/1000000/'E Balans VL '!Z12*100)</f>
        <v>1.7756161341664574</v>
      </c>
      <c r="D26" s="236" t="s">
        <v>691</v>
      </c>
      <c r="F26" s="6"/>
    </row>
    <row r="27" spans="1:18">
      <c r="A27" s="231" t="s">
        <v>52</v>
      </c>
      <c r="B27" s="34">
        <f>IF(ISERROR(TER_horeca_ele_kWh/1000),0,TER_horeca_ele_kWh/1000)</f>
        <v>4604.7357402082598</v>
      </c>
      <c r="C27" s="40">
        <f>IF(ISERROR(B27*3.6/1000000/'E Balans VL '!Z9*100),0,B27*3.6/1000000/'E Balans VL '!Z9*100)</f>
        <v>0.36242831102144812</v>
      </c>
      <c r="D27" s="236" t="s">
        <v>691</v>
      </c>
      <c r="F27" s="6"/>
    </row>
    <row r="28" spans="1:18">
      <c r="A28" s="171" t="s">
        <v>51</v>
      </c>
      <c r="B28" s="34">
        <f>IF(ISERROR(TER_handel_ele_kWh/1000),0,TER_handel_ele_kWh/1000)</f>
        <v>23246.423333588002</v>
      </c>
      <c r="C28" s="40">
        <f>IF(ISERROR(B28*3.6/1000000/'E Balans VL '!Z13*100),0,B28*3.6/1000000/'E Balans VL '!Z13*100)</f>
        <v>0.65114475856840126</v>
      </c>
      <c r="D28" s="236" t="s">
        <v>691</v>
      </c>
      <c r="F28" s="6"/>
    </row>
    <row r="29" spans="1:18">
      <c r="A29" s="231" t="s">
        <v>50</v>
      </c>
      <c r="B29" s="34">
        <f>IF(ISERROR(TER_gezond_ele_kWh/1000),0,TER_gezond_ele_kWh/1000)</f>
        <v>965.52653678412594</v>
      </c>
      <c r="C29" s="40">
        <f>IF(ISERROR(B29*3.6/1000000/'E Balans VL '!Z10*100),0,B29*3.6/1000000/'E Balans VL '!Z10*100)</f>
        <v>0.12352004040129697</v>
      </c>
      <c r="D29" s="236" t="s">
        <v>691</v>
      </c>
      <c r="F29" s="6"/>
    </row>
    <row r="30" spans="1:18">
      <c r="A30" s="231" t="s">
        <v>49</v>
      </c>
      <c r="B30" s="34">
        <f>IF(ISERROR(TER_ander_ele_kWh/1000),0,TER_ander_ele_kWh/1000)</f>
        <v>7361.5066942773901</v>
      </c>
      <c r="C30" s="40">
        <f>IF(ISERROR(B30*3.6/1000000/'E Balans VL '!Z14*100),0,B30*3.6/1000000/'E Balans VL '!Z14*100)</f>
        <v>0.55057867159296192</v>
      </c>
      <c r="D30" s="236" t="s">
        <v>691</v>
      </c>
      <c r="F30" s="6"/>
    </row>
    <row r="31" spans="1:18">
      <c r="A31" s="231" t="s">
        <v>54</v>
      </c>
      <c r="B31" s="34">
        <f>IF(ISERROR(TER_onderwijs_ele_kWh/1000),0,TER_onderwijs_ele_kWh/1000)</f>
        <v>864.33634474867699</v>
      </c>
      <c r="C31" s="40">
        <f>IF(ISERROR(B31*3.6/1000000/'E Balans VL '!Z11*100),0,B31*3.6/1000000/'E Balans VL '!Z11*100)</f>
        <v>0.18250573879542695</v>
      </c>
      <c r="D31" s="236" t="s">
        <v>691</v>
      </c>
    </row>
    <row r="32" spans="1:18">
      <c r="A32" s="231" t="s">
        <v>255</v>
      </c>
      <c r="B32" s="34">
        <f>IF(ISERROR(TER_rest_ele_kWh/1000),0,TER_rest_ele_kWh/1000)</f>
        <v>14094.119277299</v>
      </c>
      <c r="C32" s="40">
        <f>IF(ISERROR(B32*3.6/1000000/'E Balans VL '!Z8*100),0,B32*3.6/1000000/'E Balans VL '!Z8*100)</f>
        <v>0.11610639712859278</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93740.710850076852</v>
      </c>
      <c r="C5" s="18">
        <f>IF(ISERROR('Eigen informatie GS &amp; warmtenet'!B59),0,'Eigen informatie GS &amp; warmtenet'!B59)</f>
        <v>0</v>
      </c>
      <c r="D5" s="31">
        <f>SUM(D6:D15)</f>
        <v>29849.089845671027</v>
      </c>
      <c r="E5" s="18">
        <f>SUM(E6:E15)</f>
        <v>804.79228597309998</v>
      </c>
      <c r="F5" s="18">
        <f>SUM(F6:F15)</f>
        <v>19062.642520896534</v>
      </c>
      <c r="G5" s="19"/>
      <c r="H5" s="18"/>
      <c r="I5" s="18"/>
      <c r="J5" s="18">
        <f>SUM(J6:J15)</f>
        <v>355.84819482120571</v>
      </c>
      <c r="K5" s="18"/>
      <c r="L5" s="18"/>
      <c r="M5" s="18"/>
      <c r="N5" s="18">
        <f>SUM(N6:N15)</f>
        <v>2681.3962180146532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749.05353848814696</v>
      </c>
      <c r="C8" s="34"/>
      <c r="D8" s="38">
        <f>IF( ISERROR(IND_metaal_Gas_kWH/1000),0,IND_metaal_Gas_kWH/1000)*0.902</f>
        <v>0</v>
      </c>
      <c r="E8" s="34">
        <f>C30*'E Balans VL '!I18/100/3.6*1000000</f>
        <v>6.8214955863097879</v>
      </c>
      <c r="F8" s="34">
        <f>C30*'E Balans VL '!L18/100/3.6*1000000+C30*'E Balans VL '!N18/100/3.6*1000000</f>
        <v>98.794473316313798</v>
      </c>
      <c r="G8" s="35"/>
      <c r="H8" s="34"/>
      <c r="I8" s="34"/>
      <c r="J8" s="41">
        <f>C30*'E Balans VL '!D18/100/3.6*1000000+C30*'E Balans VL '!E18/100/3.6*1000000</f>
        <v>12.283390444630548</v>
      </c>
      <c r="K8" s="34"/>
      <c r="L8" s="34"/>
      <c r="M8" s="34"/>
      <c r="N8" s="34">
        <f>C30*'E Balans VL '!Y18/100/3.6*1000000</f>
        <v>2.5741994510288979</v>
      </c>
      <c r="O8" s="34"/>
      <c r="P8" s="34"/>
      <c r="R8" s="33"/>
    </row>
    <row r="9" spans="1:18">
      <c r="A9" s="6" t="s">
        <v>32</v>
      </c>
      <c r="B9" s="38">
        <f t="shared" si="0"/>
        <v>6324.5669426276199</v>
      </c>
      <c r="C9" s="34"/>
      <c r="D9" s="38">
        <f>IF( ISERROR(IND_andere_gas_kWh/1000),0,IND_andere_gas_kWh/1000)*0.902</f>
        <v>3233.1146011479227</v>
      </c>
      <c r="E9" s="34">
        <f>C31*'E Balans VL '!I19/100/3.6*1000000</f>
        <v>36.556942056742827</v>
      </c>
      <c r="F9" s="34">
        <f>C31*'E Balans VL '!L19/100/3.6*1000000+C31*'E Balans VL '!N19/100/3.6*1000000</f>
        <v>5031.4973289789241</v>
      </c>
      <c r="G9" s="35"/>
      <c r="H9" s="34"/>
      <c r="I9" s="34"/>
      <c r="J9" s="41">
        <f>C31*'E Balans VL '!D19/100/3.6*1000000+C31*'E Balans VL '!E19/100/3.6*1000000</f>
        <v>0.59823378147275774</v>
      </c>
      <c r="K9" s="34"/>
      <c r="L9" s="34"/>
      <c r="M9" s="34"/>
      <c r="N9" s="34">
        <f>C31*'E Balans VL '!Y19/100/3.6*1000000</f>
        <v>479.18165751881128</v>
      </c>
      <c r="O9" s="34"/>
      <c r="P9" s="34"/>
      <c r="R9" s="33"/>
    </row>
    <row r="10" spans="1:18">
      <c r="A10" s="6" t="s">
        <v>40</v>
      </c>
      <c r="B10" s="38">
        <f t="shared" si="0"/>
        <v>1347.10664683818</v>
      </c>
      <c r="C10" s="34"/>
      <c r="D10" s="38">
        <f>IF( ISERROR(IND_voed_gas_kWh/1000),0,IND_voed_gas_kWh/1000)*0.902</f>
        <v>1112.6214919476336</v>
      </c>
      <c r="E10" s="34">
        <f>C32*'E Balans VL '!I20/100/3.6*1000000</f>
        <v>13.245582573244489</v>
      </c>
      <c r="F10" s="34">
        <f>C32*'E Balans VL '!L20/100/3.6*1000000+C32*'E Balans VL '!N20/100/3.6*1000000</f>
        <v>149.61377643539862</v>
      </c>
      <c r="G10" s="35"/>
      <c r="H10" s="34"/>
      <c r="I10" s="34"/>
      <c r="J10" s="41">
        <f>C32*'E Balans VL '!D20/100/3.6*1000000+C32*'E Balans VL '!E20/100/3.6*1000000</f>
        <v>5.3095588448085823E-3</v>
      </c>
      <c r="K10" s="34"/>
      <c r="L10" s="34"/>
      <c r="M10" s="34"/>
      <c r="N10" s="34">
        <f>C32*'E Balans VL '!Y20/100/3.6*1000000</f>
        <v>19.947480710831581</v>
      </c>
      <c r="O10" s="34"/>
      <c r="P10" s="34"/>
      <c r="R10" s="33"/>
    </row>
    <row r="11" spans="1:18">
      <c r="A11" s="6" t="s">
        <v>39</v>
      </c>
      <c r="B11" s="38">
        <f t="shared" si="0"/>
        <v>147.279656876644</v>
      </c>
      <c r="C11" s="34"/>
      <c r="D11" s="38">
        <f>IF( ISERROR(IND_textiel_gas_kWh/1000),0,IND_textiel_gas_kWh/1000)*0.902</f>
        <v>81.301858058524914</v>
      </c>
      <c r="E11" s="34">
        <f>C33*'E Balans VL '!I21/100/3.6*1000000</f>
        <v>0.28678769128343434</v>
      </c>
      <c r="F11" s="34">
        <f>C33*'E Balans VL '!L21/100/3.6*1000000+C33*'E Balans VL '!N21/100/3.6*1000000</f>
        <v>4.857766382513363</v>
      </c>
      <c r="G11" s="35"/>
      <c r="H11" s="34"/>
      <c r="I11" s="34"/>
      <c r="J11" s="41">
        <f>C33*'E Balans VL '!D21/100/3.6*1000000+C33*'E Balans VL '!E21/100/3.6*1000000</f>
        <v>0</v>
      </c>
      <c r="K11" s="34"/>
      <c r="L11" s="34"/>
      <c r="M11" s="34"/>
      <c r="N11" s="34">
        <f>C33*'E Balans VL '!Y21/100/3.6*1000000</f>
        <v>1.5276774134201447</v>
      </c>
      <c r="O11" s="34"/>
      <c r="P11" s="34"/>
      <c r="R11" s="33"/>
    </row>
    <row r="12" spans="1:18">
      <c r="A12" s="6" t="s">
        <v>36</v>
      </c>
      <c r="B12" s="38">
        <f t="shared" si="0"/>
        <v>52.676364887824697</v>
      </c>
      <c r="C12" s="34"/>
      <c r="D12" s="38">
        <f>IF( ISERROR(IND_min_gas_kWh/1000),0,IND_min_gas_kWh/1000)*0.902</f>
        <v>55.973341773534258</v>
      </c>
      <c r="E12" s="34">
        <f>C34*'E Balans VL '!I22/100/3.6*1000000</f>
        <v>1.3354395872383944</v>
      </c>
      <c r="F12" s="34">
        <f>C34*'E Balans VL '!L22/100/3.6*1000000+C34*'E Balans VL '!N22/100/3.6*1000000</f>
        <v>14.575733772686361</v>
      </c>
      <c r="G12" s="35"/>
      <c r="H12" s="34"/>
      <c r="I12" s="34"/>
      <c r="J12" s="41">
        <f>C34*'E Balans VL '!D22/100/3.6*1000000+C34*'E Balans VL '!E22/100/3.6*1000000</f>
        <v>0.34788529908359339</v>
      </c>
      <c r="K12" s="34"/>
      <c r="L12" s="34"/>
      <c r="M12" s="34"/>
      <c r="N12" s="34">
        <f>C34*'E Balans VL '!Y22/100/3.6*1000000</f>
        <v>0</v>
      </c>
      <c r="O12" s="34"/>
      <c r="P12" s="34"/>
      <c r="R12" s="33"/>
    </row>
    <row r="13" spans="1:18">
      <c r="A13" s="6" t="s">
        <v>38</v>
      </c>
      <c r="B13" s="38">
        <f t="shared" si="0"/>
        <v>222.494191850839</v>
      </c>
      <c r="C13" s="34"/>
      <c r="D13" s="38">
        <f>IF( ISERROR(IND_papier_gas_kWh/1000),0,IND_papier_gas_kWh/1000)*0.902</f>
        <v>160.90415703526074</v>
      </c>
      <c r="E13" s="34">
        <f>C35*'E Balans VL '!I23/100/3.6*1000000</f>
        <v>7.5784747701611392</v>
      </c>
      <c r="F13" s="34">
        <f>C35*'E Balans VL '!L23/100/3.6*1000000+C35*'E Balans VL '!N23/100/3.6*1000000</f>
        <v>36.750818667478647</v>
      </c>
      <c r="G13" s="35"/>
      <c r="H13" s="34"/>
      <c r="I13" s="34"/>
      <c r="J13" s="41">
        <f>C35*'E Balans VL '!D23/100/3.6*1000000+C35*'E Balans VL '!E23/100/3.6*1000000</f>
        <v>0</v>
      </c>
      <c r="K13" s="34"/>
      <c r="L13" s="34"/>
      <c r="M13" s="34"/>
      <c r="N13" s="34">
        <f>C35*'E Balans VL '!Y23/100/3.6*1000000</f>
        <v>81.871895769432399</v>
      </c>
      <c r="O13" s="34"/>
      <c r="P13" s="34"/>
      <c r="R13" s="33"/>
    </row>
    <row r="14" spans="1:18">
      <c r="A14" s="6" t="s">
        <v>33</v>
      </c>
      <c r="B14" s="38">
        <f t="shared" si="0"/>
        <v>16766.887590467799</v>
      </c>
      <c r="C14" s="34"/>
      <c r="D14" s="38">
        <f>IF( ISERROR(IND_chemie_gas_kWh/1000),0,IND_chemie_gas_kWh/1000)*0.902</f>
        <v>0</v>
      </c>
      <c r="E14" s="34">
        <f>C36*'E Balans VL '!I24/100/3.6*1000000</f>
        <v>126.76663555353896</v>
      </c>
      <c r="F14" s="34">
        <f>C36*'E Balans VL '!L24/100/3.6*1000000+C36*'E Balans VL '!N24/100/3.6*1000000</f>
        <v>310.2337777450366</v>
      </c>
      <c r="G14" s="35"/>
      <c r="H14" s="34"/>
      <c r="I14" s="34"/>
      <c r="J14" s="41">
        <f>C36*'E Balans VL '!D24/100/3.6*1000000+C36*'E Balans VL '!E24/100/3.6*1000000</f>
        <v>0</v>
      </c>
      <c r="K14" s="34"/>
      <c r="L14" s="34"/>
      <c r="M14" s="34"/>
      <c r="N14" s="34">
        <f>C36*'E Balans VL '!Y24/100/3.6*1000000</f>
        <v>4.8619650479505987</v>
      </c>
      <c r="O14" s="34"/>
      <c r="P14" s="34"/>
      <c r="R14" s="33"/>
    </row>
    <row r="15" spans="1:18">
      <c r="A15" s="6" t="s">
        <v>265</v>
      </c>
      <c r="B15" s="38">
        <f t="shared" si="0"/>
        <v>68130.645918039794</v>
      </c>
      <c r="C15" s="34"/>
      <c r="D15" s="38">
        <f>IF( ISERROR(IND_rest_gas_kWh/1000),0,IND_rest_gas_kWh/1000)*0.902</f>
        <v>25205.174395708153</v>
      </c>
      <c r="E15" s="34">
        <f>C37*'E Balans VL '!I15/100/3.6*1000000</f>
        <v>612.20092815458099</v>
      </c>
      <c r="F15" s="34">
        <f>C37*'E Balans VL '!L15/100/3.6*1000000+C37*'E Balans VL '!N15/100/3.6*1000000</f>
        <v>13416.318845598182</v>
      </c>
      <c r="G15" s="35"/>
      <c r="H15" s="34"/>
      <c r="I15" s="34"/>
      <c r="J15" s="41">
        <f>C37*'E Balans VL '!D15/100/3.6*1000000+C37*'E Balans VL '!E15/100/3.6*1000000</f>
        <v>342.61337573717401</v>
      </c>
      <c r="K15" s="34"/>
      <c r="L15" s="34"/>
      <c r="M15" s="34"/>
      <c r="N15" s="34">
        <f>C37*'E Balans VL '!Y15/100/3.6*1000000</f>
        <v>2091.4313421031784</v>
      </c>
      <c r="O15" s="34"/>
      <c r="P15" s="34"/>
      <c r="R15" s="33"/>
    </row>
    <row r="16" spans="1:18">
      <c r="A16" s="17" t="s">
        <v>495</v>
      </c>
      <c r="B16" s="246">
        <f>'lokale energieproductie'!N44+'lokale energieproductie'!N37</f>
        <v>2970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-8485.7142857142862</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96710.710850076852</v>
      </c>
      <c r="C18" s="22">
        <f>C5+C16</f>
        <v>0</v>
      </c>
      <c r="D18" s="22">
        <f>MAX((D5+D16),0)</f>
        <v>29849.089845671027</v>
      </c>
      <c r="E18" s="22">
        <f>MAX((E5+E16),0)</f>
        <v>804.79228597309998</v>
      </c>
      <c r="F18" s="22">
        <f>MAX((F5+F16),0)</f>
        <v>19062.642520896534</v>
      </c>
      <c r="G18" s="22"/>
      <c r="H18" s="22"/>
      <c r="I18" s="22"/>
      <c r="J18" s="22">
        <f>MAX((J5+J16),0)</f>
        <v>355.84819482120571</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0.17565981406551912</v>
      </c>
      <c r="C20" s="26">
        <f ca="1">'EF ele_warmte'!B22</f>
        <v>0.19554376185958264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16988.185486068684</v>
      </c>
      <c r="C22" s="24">
        <f ca="1">C18*C20</f>
        <v>0</v>
      </c>
      <c r="D22" s="24">
        <f>D18*D20</f>
        <v>6029.516148825548</v>
      </c>
      <c r="E22" s="24">
        <f>E18*E20</f>
        <v>182.68784891589371</v>
      </c>
      <c r="F22" s="24">
        <f>F18*F20</f>
        <v>5089.7255530793745</v>
      </c>
      <c r="G22" s="24"/>
      <c r="H22" s="24"/>
      <c r="I22" s="24"/>
      <c r="J22" s="24">
        <f>J18*J20</f>
        <v>125.97026096670682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749.05353848814696</v>
      </c>
      <c r="C30" s="40">
        <f>IF(ISERROR(B30*3.6/1000000/'E Balans VL '!Z18*100),0,B30*3.6/1000000/'E Balans VL '!Z18*100)</f>
        <v>4.1679820538828384E-2</v>
      </c>
      <c r="D30" s="236" t="s">
        <v>691</v>
      </c>
    </row>
    <row r="31" spans="1:18">
      <c r="A31" s="6" t="s">
        <v>32</v>
      </c>
      <c r="B31" s="38">
        <f>IF( ISERROR(IND_ander_ele_kWh/1000),0,IND_ander_ele_kWh/1000)</f>
        <v>6324.5669426276199</v>
      </c>
      <c r="C31" s="40">
        <f>IF(ISERROR(B31*3.6/1000000/'E Balans VL '!Z19*100),0,B31*3.6/1000000/'E Balans VL '!Z19*100)</f>
        <v>0.29401250693541681</v>
      </c>
      <c r="D31" s="236" t="s">
        <v>691</v>
      </c>
    </row>
    <row r="32" spans="1:18">
      <c r="A32" s="171" t="s">
        <v>40</v>
      </c>
      <c r="B32" s="38">
        <f>IF( ISERROR(IND_voed_ele_kWh/1000),0,IND_voed_ele_kWh/1000)</f>
        <v>1347.10664683818</v>
      </c>
      <c r="C32" s="40">
        <f>IF(ISERROR(B32*3.6/1000000/'E Balans VL '!Z20*100),0,B32*3.6/1000000/'E Balans VL '!Z20*100)</f>
        <v>4.7617499368637899E-2</v>
      </c>
      <c r="D32" s="236" t="s">
        <v>691</v>
      </c>
    </row>
    <row r="33" spans="1:5">
      <c r="A33" s="171" t="s">
        <v>39</v>
      </c>
      <c r="B33" s="38">
        <f>IF( ISERROR(IND_textiel_ele_kWh/1000),0,IND_textiel_ele_kWh/1000)</f>
        <v>147.279656876644</v>
      </c>
      <c r="C33" s="40">
        <f>IF(ISERROR(B33*3.6/1000000/'E Balans VL '!Z21*100),0,B33*3.6/1000000/'E Balans VL '!Z21*100)</f>
        <v>1.98923524733697E-2</v>
      </c>
      <c r="D33" s="236" t="s">
        <v>691</v>
      </c>
    </row>
    <row r="34" spans="1:5">
      <c r="A34" s="171" t="s">
        <v>36</v>
      </c>
      <c r="B34" s="38">
        <f>IF( ISERROR(IND_min_ele_kWh/1000),0,IND_min_ele_kWh/1000)</f>
        <v>52.676364887824697</v>
      </c>
      <c r="C34" s="40">
        <f>IF(ISERROR(B34*3.6/1000000/'E Balans VL '!Z22*100),0,B34*3.6/1000000/'E Balans VL '!Z22*100)</f>
        <v>1.0586463919146617E-2</v>
      </c>
      <c r="D34" s="236" t="s">
        <v>691</v>
      </c>
    </row>
    <row r="35" spans="1:5">
      <c r="A35" s="171" t="s">
        <v>38</v>
      </c>
      <c r="B35" s="38">
        <f>IF( ISERROR(IND_papier_ele_kWh/1000),0,IND_papier_ele_kWh/1000)</f>
        <v>222.494191850839</v>
      </c>
      <c r="C35" s="40">
        <f>IF(ISERROR(B35*3.6/1000000/'E Balans VL '!Z22*100),0,B35*3.6/1000000/'E Balans VL '!Z22*100)</f>
        <v>4.471505843777409E-2</v>
      </c>
      <c r="D35" s="236" t="s">
        <v>691</v>
      </c>
    </row>
    <row r="36" spans="1:5">
      <c r="A36" s="171" t="s">
        <v>33</v>
      </c>
      <c r="B36" s="38">
        <f>IF( ISERROR(IND_chemie_ele_kWh/1000),0,IND_chemie_ele_kWh/1000)</f>
        <v>16766.887590467799</v>
      </c>
      <c r="C36" s="40">
        <f>IF(ISERROR(B36*3.6/1000000/'E Balans VL '!Z24*100),0,B36*3.6/1000000/'E Balans VL '!Z24*100)</f>
        <v>0.41288835998556112</v>
      </c>
      <c r="D36" s="236" t="s">
        <v>691</v>
      </c>
    </row>
    <row r="37" spans="1:5">
      <c r="A37" s="171" t="s">
        <v>265</v>
      </c>
      <c r="B37" s="38">
        <f>IF( ISERROR(IND_rest_ele_kWh/1000),0,IND_rest_ele_kWh/1000)</f>
        <v>68130.645918039794</v>
      </c>
      <c r="C37" s="40">
        <f>IF(ISERROR(B37*3.6/1000000/'E Balans VL '!Z15*100),0,B37*3.6/1000000/'E Balans VL '!Z15*100)</f>
        <v>0.51448702086412823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9622.4109834957871</v>
      </c>
      <c r="C5" s="18">
        <f>'Eigen informatie GS &amp; warmtenet'!B60</f>
        <v>0</v>
      </c>
      <c r="D5" s="31">
        <f>IF(ISERROR(SUM(LB_lb_gas_kWh,LB_rest_gas_kWh)/1000),0,SUM(LB_lb_gas_kWh,LB_rest_gas_kWh)/1000)*0.902</f>
        <v>139771.21202712171</v>
      </c>
      <c r="E5" s="18">
        <f>B17*'E Balans VL '!I25/3.6*1000000/100</f>
        <v>90.64955869137826</v>
      </c>
      <c r="F5" s="18">
        <f>B17*('E Balans VL '!L25/3.6*1000000+'E Balans VL '!N25/3.6*1000000)/100</f>
        <v>31401.120436897567</v>
      </c>
      <c r="G5" s="19"/>
      <c r="H5" s="18"/>
      <c r="I5" s="18"/>
      <c r="J5" s="18">
        <f>('E Balans VL '!D25+'E Balans VL '!E25)/3.6*1000000*landbouw!B17/100</f>
        <v>1190.3390420564619</v>
      </c>
      <c r="K5" s="18"/>
      <c r="L5" s="18">
        <f>L6*(-1)</f>
        <v>0</v>
      </c>
      <c r="M5" s="18"/>
      <c r="N5" s="18">
        <f>N6*(-1)</f>
        <v>32538.857142857149</v>
      </c>
      <c r="O5" s="18"/>
      <c r="P5" s="18"/>
      <c r="R5" s="33"/>
    </row>
    <row r="6" spans="1:18">
      <c r="A6" s="17" t="s">
        <v>495</v>
      </c>
      <c r="B6" s="18" t="s">
        <v>210</v>
      </c>
      <c r="C6" s="18">
        <f>'lokale energieproductie'!O46+'lokale energieproductie'!O39</f>
        <v>90564.428571428565</v>
      </c>
      <c r="D6" s="305">
        <f>('lokale energieproductie'!P39+'lokale energieproductie'!P46)*(-1)</f>
        <v>-148590</v>
      </c>
      <c r="E6" s="247"/>
      <c r="F6" s="305">
        <f>('lokale energieproductie'!S39+'lokale energieproductie'!S46)*(-1)</f>
        <v>0</v>
      </c>
      <c r="G6" s="248"/>
      <c r="H6" s="247"/>
      <c r="I6" s="247"/>
      <c r="J6" s="247"/>
      <c r="K6" s="247"/>
      <c r="L6" s="305">
        <f>('lokale energieproductie'!T39+'lokale energieproductie'!U39+'lokale energieproductie'!T46+'lokale energieproductie'!U46)*(-1)</f>
        <v>0</v>
      </c>
      <c r="M6" s="247"/>
      <c r="N6" s="305">
        <f>('lokale energieproductie'!V39+'lokale energieproductie'!R39+'lokale energieproductie'!Q39+'lokale energieproductie'!Q46+'lokale energieproductie'!R46+'lokale energieproductie'!V46)*(-1)</f>
        <v>-32538.857142857149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9622.4109834957871</v>
      </c>
      <c r="C8" s="22">
        <f>C5+C6</f>
        <v>90564.428571428565</v>
      </c>
      <c r="D8" s="22">
        <f>MAX((D5+D6),0)</f>
        <v>0</v>
      </c>
      <c r="E8" s="22">
        <f>MAX((E5+E6),0)</f>
        <v>90.64955869137826</v>
      </c>
      <c r="F8" s="22">
        <f>MAX((F5+F6),0)</f>
        <v>31401.120436897567</v>
      </c>
      <c r="G8" s="22"/>
      <c r="H8" s="22"/>
      <c r="I8" s="22"/>
      <c r="J8" s="22">
        <f>MAX((J5+J6),0)</f>
        <v>1190.3390420564619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0.17565981406551912</v>
      </c>
      <c r="C10" s="32">
        <f ca="1">'EF ele_warmte'!B22</f>
        <v>0.19554376185958264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1690.2709242228789</v>
      </c>
      <c r="C12" s="24">
        <f ca="1">C8*C10</f>
        <v>17709.30905352061</v>
      </c>
      <c r="D12" s="24">
        <f>D8*D10</f>
        <v>0</v>
      </c>
      <c r="E12" s="24">
        <f>E8*E10</f>
        <v>20.577449822942867</v>
      </c>
      <c r="F12" s="24">
        <f>F8*F10</f>
        <v>8384.0991566516514</v>
      </c>
      <c r="G12" s="24"/>
      <c r="H12" s="24"/>
      <c r="I12" s="24"/>
      <c r="J12" s="24">
        <f>J8*J10</f>
        <v>421.38002088798748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1.3027206859530933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812.00963779479082</v>
      </c>
      <c r="C26" s="246">
        <f>B26*'GWP N2O_CH4'!B5</f>
        <v>17052.202393690608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483.51267657855891</v>
      </c>
      <c r="C27" s="246">
        <f>B27*'GWP N2O_CH4'!B5</f>
        <v>10153.766208149736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14.283093345549569</v>
      </c>
      <c r="C28" s="246">
        <f>B28*'GWP N2O_CH4'!B4</f>
        <v>4427.7589371203667</v>
      </c>
      <c r="D28" s="51"/>
    </row>
    <row r="29" spans="1:4">
      <c r="A29" s="42" t="s">
        <v>272</v>
      </c>
      <c r="B29" s="246">
        <f>B34*'ha_N2O bodem landbouw'!B4</f>
        <v>39.59480428787441</v>
      </c>
      <c r="C29" s="246">
        <f>B29*'GWP N2O_CH4'!B4</f>
        <v>12274.389329241067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1.0689350702721697E-2</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7.5895381799596337E-5</v>
      </c>
      <c r="C5" s="435" t="s">
        <v>210</v>
      </c>
      <c r="D5" s="420">
        <f>SUM(D6:D11)</f>
        <v>8.6504467957372773E-5</v>
      </c>
      <c r="E5" s="420">
        <f>SUM(E6:E11)</f>
        <v>6.2488770769782345E-3</v>
      </c>
      <c r="F5" s="433" t="s">
        <v>210</v>
      </c>
      <c r="G5" s="420">
        <f>SUM(G6:G11)</f>
        <v>2.0048509927255633</v>
      </c>
      <c r="H5" s="420">
        <f>SUM(H6:H11)</f>
        <v>0.21486120051732693</v>
      </c>
      <c r="I5" s="435" t="s">
        <v>210</v>
      </c>
      <c r="J5" s="435" t="s">
        <v>210</v>
      </c>
      <c r="K5" s="435" t="s">
        <v>210</v>
      </c>
      <c r="L5" s="435" t="s">
        <v>210</v>
      </c>
      <c r="M5" s="420">
        <f>SUM(M6:M11)</f>
        <v>9.9048864918526366E-2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1.590330366746477E-5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1.8522283131916349E-5</v>
      </c>
      <c r="E6" s="423">
        <f>vkm_GW_PW*SUMIFS(TableVerdeelsleutelVkm[LPG],TableVerdeelsleutelVkm[Voertuigtype],"Lichte voertuigen")*SUMIFS(TableECFTransport[EnergieConsumptieFactor (PJ per km)],TableECFTransport[Index],CONCATENATE($A6,"_LPG_LPG"))</f>
        <v>1.2016781327704512E-3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0.18748438142455578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4.5183706260188278E-2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1.0411912076322399E-2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1.1462678583227928E-6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0.18961800057905098</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5.0881266472302806E-6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8.4373824569633667E-3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1.074923262514941E-5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2.0446890022752933E-5</v>
      </c>
      <c r="E8" s="423">
        <f>vkm_NGW_PW*SUMIFS(TableVerdeelsleutelVkm[LPG],TableVerdeelsleutelVkm[Voertuigtype],"Lichte voertuigen")*SUMIFS(TableECFTransport[EnergieConsumptieFactor (PJ per km)],TableECFTransport[Index],CONCATENATE($A8,"_LPG_LPG"))</f>
        <v>1.2568490813201739E-3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0.18460317961098507</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4.7546343412955577E-2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1.039193524164495E-2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7.3228366312997381E-7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0.15533803895968629</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3.9234451853933489E-6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6.9120247777773583E-3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4.2619172968243291E-5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4.753529480270348E-5</v>
      </c>
      <c r="E10" s="423">
        <f>vkm_SW_PW*SUMIFS(TableVerdeelsleutelVkm[LPG],TableVerdeelsleutelVkm[Voertuigtype],"Lichte voertuigen")*SUMIFS(TableECFTransport[EnergieConsumptieFactor (PJ per km)],TableECFTransport[Index],CONCATENATE($A10,"_LPG_LPG"))</f>
        <v>3.7903498628876092E-3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0.5525342770882925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0.12210045975895167</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3.0178266041564331E-2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4.7451210172860989E-6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0.73527311506299253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2.1679513398774496E-5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3.2717344324253952E-2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21.08205049988787</v>
      </c>
      <c r="C14" s="22"/>
      <c r="D14" s="22">
        <f t="shared" ref="D14:M14" si="0">((D5)*10^9/3600)+D12</f>
        <v>24.029018877047992</v>
      </c>
      <c r="E14" s="22">
        <f t="shared" si="0"/>
        <v>1735.7991880495097</v>
      </c>
      <c r="F14" s="22"/>
      <c r="G14" s="22">
        <f t="shared" si="0"/>
        <v>556903.05353487865</v>
      </c>
      <c r="H14" s="22">
        <f t="shared" si="0"/>
        <v>59683.666810368588</v>
      </c>
      <c r="I14" s="22"/>
      <c r="J14" s="22"/>
      <c r="K14" s="22"/>
      <c r="L14" s="22"/>
      <c r="M14" s="22">
        <f t="shared" si="0"/>
        <v>27513.573588479547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0.17565981406551912</v>
      </c>
      <c r="C16" s="57">
        <f ca="1">'EF ele_warmte'!B22</f>
        <v>0.19554376185958264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3.7032690709301876</v>
      </c>
      <c r="C18" s="24"/>
      <c r="D18" s="24">
        <f t="shared" ref="D18:M18" si="1">D14*D16</f>
        <v>4.8538618131636948</v>
      </c>
      <c r="E18" s="24">
        <f t="shared" si="1"/>
        <v>394.02641568723868</v>
      </c>
      <c r="F18" s="24"/>
      <c r="G18" s="24">
        <f t="shared" si="1"/>
        <v>148693.11529381262</v>
      </c>
      <c r="H18" s="24">
        <f t="shared" si="1"/>
        <v>14861.233035781779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7.2523800534322883E-5</v>
      </c>
      <c r="C50" s="316">
        <f t="shared" ref="C50:P50" si="2">SUM(C51:C52)</f>
        <v>0</v>
      </c>
      <c r="D50" s="316">
        <f t="shared" si="2"/>
        <v>0</v>
      </c>
      <c r="E50" s="316">
        <f t="shared" si="2"/>
        <v>0</v>
      </c>
      <c r="F50" s="316">
        <f t="shared" si="2"/>
        <v>0</v>
      </c>
      <c r="G50" s="316">
        <f t="shared" si="2"/>
        <v>1.4465015001982733E-2</v>
      </c>
      <c r="H50" s="316">
        <f t="shared" si="2"/>
        <v>0</v>
      </c>
      <c r="I50" s="316">
        <f t="shared" si="2"/>
        <v>0</v>
      </c>
      <c r="J50" s="316">
        <f t="shared" si="2"/>
        <v>0</v>
      </c>
      <c r="K50" s="316">
        <f t="shared" si="2"/>
        <v>0</v>
      </c>
      <c r="L50" s="316">
        <f t="shared" si="2"/>
        <v>0</v>
      </c>
      <c r="M50" s="316">
        <f t="shared" si="2"/>
        <v>6.3933825698185955E-4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7.2523800534322883E-5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1.4465015001982733E-2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6.3933825698185955E-4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20.145500148423025</v>
      </c>
      <c r="C54" s="22">
        <f t="shared" ref="C54:P54" si="3">(C50)*10^9/3600</f>
        <v>0</v>
      </c>
      <c r="D54" s="22">
        <f t="shared" si="3"/>
        <v>0</v>
      </c>
      <c r="E54" s="22">
        <f t="shared" si="3"/>
        <v>0</v>
      </c>
      <c r="F54" s="22">
        <f t="shared" si="3"/>
        <v>0</v>
      </c>
      <c r="G54" s="22">
        <f t="shared" si="3"/>
        <v>4018.0597227729813</v>
      </c>
      <c r="H54" s="22">
        <f t="shared" si="3"/>
        <v>0</v>
      </c>
      <c r="I54" s="22">
        <f t="shared" si="3"/>
        <v>0</v>
      </c>
      <c r="J54" s="22">
        <f t="shared" si="3"/>
        <v>0</v>
      </c>
      <c r="K54" s="22">
        <f t="shared" si="3"/>
        <v>0</v>
      </c>
      <c r="L54" s="22">
        <f t="shared" si="3"/>
        <v>0</v>
      </c>
      <c r="M54" s="22">
        <f t="shared" si="3"/>
        <v>177.59396027273877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0.17565981406551912</v>
      </c>
      <c r="C56" s="57">
        <f ca="1">'EF ele_warmte'!B22</f>
        <v>0.19554376185958264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3.5387548103288764</v>
      </c>
      <c r="C58" s="24">
        <f t="shared" ref="C58:P58" ca="1" si="4">C54*C56</f>
        <v>0</v>
      </c>
      <c r="D58" s="24">
        <f t="shared" si="4"/>
        <v>0</v>
      </c>
      <c r="E58" s="24">
        <f t="shared" si="4"/>
        <v>0</v>
      </c>
      <c r="F58" s="24">
        <f t="shared" si="4"/>
        <v>0</v>
      </c>
      <c r="G58" s="24">
        <f t="shared" si="4"/>
        <v>1072.8219459803861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24418.1471811351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36443.264940518719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N36</f>
        <v>64281.599999999999</v>
      </c>
      <c r="C8" s="546">
        <f>B55</f>
        <v>62227.058823529427</v>
      </c>
      <c r="D8" s="969"/>
      <c r="E8" s="969">
        <f>E55</f>
        <v>0</v>
      </c>
      <c r="F8" s="970"/>
      <c r="G8" s="547"/>
      <c r="H8" s="969">
        <f>I55</f>
        <v>0</v>
      </c>
      <c r="I8" s="969">
        <f>G55+F55</f>
        <v>0</v>
      </c>
      <c r="J8" s="969">
        <f>H55+D55+C55</f>
        <v>13398.352941176474</v>
      </c>
      <c r="K8" s="969"/>
      <c r="L8" s="969"/>
      <c r="M8" s="969"/>
      <c r="N8" s="548"/>
      <c r="O8" s="549">
        <f>C8*$C$12+D8*$D$12+E8*$E$12+F8*$F$12+G8*$G$12+H8*$H$12+I8*$I$12+J8*$J$12</f>
        <v>12569.865882352946</v>
      </c>
      <c r="P8" s="1243"/>
      <c r="Q8" s="1244"/>
      <c r="S8" s="1006"/>
      <c r="T8" s="1264"/>
      <c r="U8" s="1264"/>
    </row>
    <row r="9" spans="1:21" s="534" customFormat="1" ht="17.45" customHeight="1" thickBot="1">
      <c r="A9" s="550" t="s">
        <v>243</v>
      </c>
      <c r="B9" s="971">
        <f>N43+'Eigen informatie GS &amp; warmtenet'!B12</f>
        <v>2970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128113.01212165382</v>
      </c>
      <c r="C10" s="558">
        <f t="shared" ref="C10:L10" si="0">SUM(C8:C9)</f>
        <v>62227.058823529427</v>
      </c>
      <c r="D10" s="558">
        <f t="shared" si="0"/>
        <v>0</v>
      </c>
      <c r="E10" s="558">
        <f t="shared" si="0"/>
        <v>0</v>
      </c>
      <c r="F10" s="558">
        <f t="shared" si="0"/>
        <v>0</v>
      </c>
      <c r="G10" s="558">
        <f t="shared" si="0"/>
        <v>0</v>
      </c>
      <c r="H10" s="558">
        <f t="shared" si="0"/>
        <v>0</v>
      </c>
      <c r="I10" s="558">
        <f t="shared" si="0"/>
        <v>0</v>
      </c>
      <c r="J10" s="558">
        <f t="shared" si="0"/>
        <v>21884.067226890758</v>
      </c>
      <c r="K10" s="558">
        <f t="shared" si="0"/>
        <v>0</v>
      </c>
      <c r="L10" s="558">
        <f t="shared" si="0"/>
        <v>0</v>
      </c>
      <c r="M10" s="973"/>
      <c r="N10" s="973"/>
      <c r="O10" s="559">
        <f>SUM(O4:O9)</f>
        <v>12569.865882352946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O36</f>
        <v>91830.857142857145</v>
      </c>
      <c r="C17" s="570">
        <f>B56</f>
        <v>88895.798319327747</v>
      </c>
      <c r="D17" s="571"/>
      <c r="E17" s="571">
        <f>E56</f>
        <v>0</v>
      </c>
      <c r="F17" s="572"/>
      <c r="G17" s="573"/>
      <c r="H17" s="570">
        <f>I56</f>
        <v>0</v>
      </c>
      <c r="I17" s="571">
        <f>G56+F56</f>
        <v>0</v>
      </c>
      <c r="J17" s="571">
        <f>H56+D56+C56</f>
        <v>19140.504201680676</v>
      </c>
      <c r="K17" s="571"/>
      <c r="L17" s="571"/>
      <c r="M17" s="571"/>
      <c r="N17" s="976"/>
      <c r="O17" s="574">
        <f>C17*$C$22+E17*$E$22+H17*$H$22+I17*$I$22+J17*$J$22+D17*$D$22+F17*$F$22+G17*$G$22+K17*$K$22+L17*$L$22</f>
        <v>17956.951260504207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91830.857142857145</v>
      </c>
      <c r="C20" s="557">
        <f>SUM(C17:C19)</f>
        <v>88895.798319327747</v>
      </c>
      <c r="D20" s="557">
        <f t="shared" ref="D20:L20" si="1">SUM(D17:D19)</f>
        <v>0</v>
      </c>
      <c r="E20" s="557">
        <f t="shared" si="1"/>
        <v>0</v>
      </c>
      <c r="F20" s="557">
        <f t="shared" si="1"/>
        <v>0</v>
      </c>
      <c r="G20" s="557">
        <f t="shared" si="1"/>
        <v>0</v>
      </c>
      <c r="H20" s="557">
        <f t="shared" si="1"/>
        <v>0</v>
      </c>
      <c r="I20" s="557">
        <f t="shared" si="1"/>
        <v>0</v>
      </c>
      <c r="J20" s="557">
        <f t="shared" si="1"/>
        <v>19140.504201680676</v>
      </c>
      <c r="K20" s="557">
        <f t="shared" si="1"/>
        <v>0</v>
      </c>
      <c r="L20" s="557">
        <f t="shared" si="1"/>
        <v>0</v>
      </c>
      <c r="M20" s="557"/>
      <c r="N20" s="557"/>
      <c r="O20" s="578">
        <f>SUM(O17:O19)</f>
        <v>17956.951260504207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46003</v>
      </c>
      <c r="C28" s="777">
        <v>9120</v>
      </c>
      <c r="D28" s="630" t="s">
        <v>965</v>
      </c>
      <c r="E28" s="629" t="s">
        <v>966</v>
      </c>
      <c r="F28" s="629" t="s">
        <v>967</v>
      </c>
      <c r="G28" s="629" t="s">
        <v>968</v>
      </c>
      <c r="H28" s="629" t="s">
        <v>969</v>
      </c>
      <c r="I28" s="629" t="s">
        <v>966</v>
      </c>
      <c r="J28" s="776">
        <v>39377</v>
      </c>
      <c r="K28" s="776">
        <v>39380</v>
      </c>
      <c r="L28" s="629" t="s">
        <v>970</v>
      </c>
      <c r="M28" s="629">
        <v>1372</v>
      </c>
      <c r="N28" s="629">
        <v>6174.0000000000009</v>
      </c>
      <c r="O28" s="629">
        <v>8820.0000000000018</v>
      </c>
      <c r="P28" s="629">
        <v>17640.000000000004</v>
      </c>
      <c r="Q28" s="629">
        <v>0</v>
      </c>
      <c r="R28" s="629">
        <v>0</v>
      </c>
      <c r="S28" s="629">
        <v>0</v>
      </c>
      <c r="T28" s="629">
        <v>0</v>
      </c>
      <c r="U28" s="629">
        <v>0</v>
      </c>
      <c r="V28" s="629">
        <v>0</v>
      </c>
      <c r="W28" s="629"/>
      <c r="X28" s="629">
        <v>10</v>
      </c>
      <c r="Y28" s="629" t="s">
        <v>111</v>
      </c>
      <c r="Z28" s="631" t="s">
        <v>111</v>
      </c>
    </row>
    <row r="29" spans="1:26" s="583" customFormat="1" ht="25.5">
      <c r="A29" s="582"/>
      <c r="B29" s="777">
        <v>46003</v>
      </c>
      <c r="C29" s="777">
        <v>9120</v>
      </c>
      <c r="D29" s="630" t="s">
        <v>971</v>
      </c>
      <c r="E29" s="629" t="s">
        <v>972</v>
      </c>
      <c r="F29" s="629" t="s">
        <v>973</v>
      </c>
      <c r="G29" s="629" t="s">
        <v>968</v>
      </c>
      <c r="H29" s="629" t="s">
        <v>969</v>
      </c>
      <c r="I29" s="629" t="s">
        <v>972</v>
      </c>
      <c r="J29" s="776">
        <v>39568</v>
      </c>
      <c r="K29" s="776">
        <v>39568</v>
      </c>
      <c r="L29" s="629" t="s">
        <v>970</v>
      </c>
      <c r="M29" s="629">
        <v>2731</v>
      </c>
      <c r="N29" s="629">
        <v>12289.5</v>
      </c>
      <c r="O29" s="629">
        <v>17556.428571428572</v>
      </c>
      <c r="P29" s="629">
        <v>35112.857142857145</v>
      </c>
      <c r="Q29" s="629">
        <v>0</v>
      </c>
      <c r="R29" s="629">
        <v>0</v>
      </c>
      <c r="S29" s="629">
        <v>0</v>
      </c>
      <c r="T29" s="629">
        <v>0</v>
      </c>
      <c r="U29" s="629">
        <v>0</v>
      </c>
      <c r="V29" s="629">
        <v>0</v>
      </c>
      <c r="W29" s="629"/>
      <c r="X29" s="629">
        <v>10</v>
      </c>
      <c r="Y29" s="629" t="s">
        <v>111</v>
      </c>
      <c r="Z29" s="631" t="s">
        <v>111</v>
      </c>
    </row>
    <row r="30" spans="1:26" s="583" customFormat="1" ht="25.5">
      <c r="A30" s="582"/>
      <c r="B30" s="777">
        <v>46003</v>
      </c>
      <c r="C30" s="777">
        <v>9120</v>
      </c>
      <c r="D30" s="630" t="s">
        <v>974</v>
      </c>
      <c r="E30" s="629" t="s">
        <v>975</v>
      </c>
      <c r="F30" s="629" t="s">
        <v>976</v>
      </c>
      <c r="G30" s="629" t="s">
        <v>968</v>
      </c>
      <c r="H30" s="629" t="s">
        <v>969</v>
      </c>
      <c r="I30" s="629" t="s">
        <v>975</v>
      </c>
      <c r="J30" s="776">
        <v>39737</v>
      </c>
      <c r="K30" s="776">
        <v>39737</v>
      </c>
      <c r="L30" s="629" t="s">
        <v>970</v>
      </c>
      <c r="M30" s="629">
        <v>1562</v>
      </c>
      <c r="N30" s="629">
        <v>7029</v>
      </c>
      <c r="O30" s="629">
        <v>10041.428571428572</v>
      </c>
      <c r="P30" s="629">
        <v>20082.857142857145</v>
      </c>
      <c r="Q30" s="629">
        <v>0</v>
      </c>
      <c r="R30" s="629">
        <v>0</v>
      </c>
      <c r="S30" s="629">
        <v>0</v>
      </c>
      <c r="T30" s="629">
        <v>0</v>
      </c>
      <c r="U30" s="629">
        <v>0</v>
      </c>
      <c r="V30" s="629">
        <v>0</v>
      </c>
      <c r="W30" s="629"/>
      <c r="X30" s="629">
        <v>10</v>
      </c>
      <c r="Y30" s="629" t="s">
        <v>111</v>
      </c>
      <c r="Z30" s="631" t="s">
        <v>111</v>
      </c>
    </row>
    <row r="31" spans="1:26" s="583" customFormat="1" ht="25.5">
      <c r="A31" s="582"/>
      <c r="B31" s="777">
        <v>46003</v>
      </c>
      <c r="C31" s="777">
        <v>9210</v>
      </c>
      <c r="D31" s="630" t="s">
        <v>977</v>
      </c>
      <c r="E31" s="629" t="s">
        <v>978</v>
      </c>
      <c r="F31" s="629" t="s">
        <v>979</v>
      </c>
      <c r="G31" s="629" t="s">
        <v>968</v>
      </c>
      <c r="H31" s="629" t="s">
        <v>969</v>
      </c>
      <c r="I31" s="629" t="s">
        <v>980</v>
      </c>
      <c r="J31" s="776">
        <v>40333</v>
      </c>
      <c r="K31" s="776">
        <v>40345</v>
      </c>
      <c r="L31" s="629" t="s">
        <v>970</v>
      </c>
      <c r="M31" s="629">
        <v>1994</v>
      </c>
      <c r="N31" s="629">
        <v>8973</v>
      </c>
      <c r="O31" s="629">
        <v>12818.571428571429</v>
      </c>
      <c r="P31" s="629">
        <v>25637.142857142859</v>
      </c>
      <c r="Q31" s="629">
        <v>0</v>
      </c>
      <c r="R31" s="629">
        <v>0</v>
      </c>
      <c r="S31" s="629">
        <v>0</v>
      </c>
      <c r="T31" s="629">
        <v>0</v>
      </c>
      <c r="U31" s="629">
        <v>0</v>
      </c>
      <c r="V31" s="629">
        <v>0</v>
      </c>
      <c r="W31" s="629"/>
      <c r="X31" s="629">
        <v>10</v>
      </c>
      <c r="Y31" s="629" t="s">
        <v>111</v>
      </c>
      <c r="Z31" s="631" t="s">
        <v>111</v>
      </c>
    </row>
    <row r="32" spans="1:26" s="583" customFormat="1" ht="25.5">
      <c r="A32" s="582"/>
      <c r="B32" s="777">
        <v>46003</v>
      </c>
      <c r="C32" s="777">
        <v>9120</v>
      </c>
      <c r="D32" s="630" t="s">
        <v>981</v>
      </c>
      <c r="E32" s="629" t="s">
        <v>982</v>
      </c>
      <c r="F32" s="629" t="s">
        <v>983</v>
      </c>
      <c r="G32" s="629" t="s">
        <v>968</v>
      </c>
      <c r="H32" s="629" t="s">
        <v>969</v>
      </c>
      <c r="I32" s="629" t="s">
        <v>982</v>
      </c>
      <c r="J32" s="776">
        <v>40819</v>
      </c>
      <c r="K32" s="776">
        <v>40834</v>
      </c>
      <c r="L32" s="629" t="s">
        <v>970</v>
      </c>
      <c r="M32" s="629">
        <v>197</v>
      </c>
      <c r="N32" s="629">
        <v>886.5</v>
      </c>
      <c r="O32" s="629">
        <v>1266.4285714285716</v>
      </c>
      <c r="P32" s="629">
        <v>2532.8571428571431</v>
      </c>
      <c r="Q32" s="629">
        <v>0</v>
      </c>
      <c r="R32" s="629">
        <v>0</v>
      </c>
      <c r="S32" s="629">
        <v>0</v>
      </c>
      <c r="T32" s="629">
        <v>0</v>
      </c>
      <c r="U32" s="629">
        <v>0</v>
      </c>
      <c r="V32" s="629">
        <v>0</v>
      </c>
      <c r="W32" s="629"/>
      <c r="X32" s="629">
        <v>1200</v>
      </c>
      <c r="Y32" s="629" t="s">
        <v>52</v>
      </c>
      <c r="Z32" s="631" t="s">
        <v>155</v>
      </c>
    </row>
    <row r="33" spans="1:27" s="583" customFormat="1" ht="25.5">
      <c r="A33" s="582"/>
      <c r="B33" s="777">
        <v>46003</v>
      </c>
      <c r="C33" s="777">
        <v>9120</v>
      </c>
      <c r="D33" s="630" t="s">
        <v>984</v>
      </c>
      <c r="E33" s="629" t="s">
        <v>985</v>
      </c>
      <c r="F33" s="629" t="s">
        <v>986</v>
      </c>
      <c r="G33" s="629" t="s">
        <v>968</v>
      </c>
      <c r="H33" s="629" t="s">
        <v>969</v>
      </c>
      <c r="I33" s="629" t="s">
        <v>985</v>
      </c>
      <c r="J33" s="776">
        <v>40927</v>
      </c>
      <c r="K33" s="776">
        <v>39841</v>
      </c>
      <c r="L33" s="629" t="s">
        <v>970</v>
      </c>
      <c r="M33" s="629">
        <v>2233</v>
      </c>
      <c r="N33" s="629">
        <v>10048.5</v>
      </c>
      <c r="O33" s="629">
        <v>14355</v>
      </c>
      <c r="P33" s="629">
        <v>0</v>
      </c>
      <c r="Q33" s="629">
        <v>28710.000000000004</v>
      </c>
      <c r="R33" s="629">
        <v>0</v>
      </c>
      <c r="S33" s="629">
        <v>0</v>
      </c>
      <c r="T33" s="629">
        <v>0</v>
      </c>
      <c r="U33" s="629">
        <v>0</v>
      </c>
      <c r="V33" s="629">
        <v>0</v>
      </c>
      <c r="W33" s="629"/>
      <c r="X33" s="629">
        <v>10</v>
      </c>
      <c r="Y33" s="629" t="s">
        <v>111</v>
      </c>
      <c r="Z33" s="631" t="s">
        <v>111</v>
      </c>
    </row>
    <row r="34" spans="1:27" s="583" customFormat="1" ht="25.5">
      <c r="A34" s="582"/>
      <c r="B34" s="777">
        <v>46003</v>
      </c>
      <c r="C34" s="777">
        <v>9120</v>
      </c>
      <c r="D34" s="630" t="s">
        <v>987</v>
      </c>
      <c r="E34" s="629" t="s">
        <v>988</v>
      </c>
      <c r="F34" s="629" t="s">
        <v>989</v>
      </c>
      <c r="G34" s="629" t="s">
        <v>968</v>
      </c>
      <c r="H34" s="629" t="s">
        <v>969</v>
      </c>
      <c r="I34" s="629" t="s">
        <v>988</v>
      </c>
      <c r="J34" s="776">
        <v>40954</v>
      </c>
      <c r="K34" s="776">
        <v>39990</v>
      </c>
      <c r="L34" s="629" t="s">
        <v>970</v>
      </c>
      <c r="M34" s="629">
        <v>3898</v>
      </c>
      <c r="N34" s="629">
        <v>17541</v>
      </c>
      <c r="O34" s="629">
        <v>25058.571428571428</v>
      </c>
      <c r="P34" s="629">
        <v>50117.142857142862</v>
      </c>
      <c r="Q34" s="629">
        <v>0</v>
      </c>
      <c r="R34" s="629">
        <v>0</v>
      </c>
      <c r="S34" s="629">
        <v>0</v>
      </c>
      <c r="T34" s="629">
        <v>0</v>
      </c>
      <c r="U34" s="629">
        <v>0</v>
      </c>
      <c r="V34" s="629">
        <v>0</v>
      </c>
      <c r="W34" s="629"/>
      <c r="X34" s="629">
        <v>10</v>
      </c>
      <c r="Y34" s="629" t="s">
        <v>111</v>
      </c>
      <c r="Z34" s="631" t="s">
        <v>111</v>
      </c>
    </row>
    <row r="35" spans="1:27" s="583" customFormat="1" ht="25.5">
      <c r="A35" s="582"/>
      <c r="B35" s="777">
        <v>46003</v>
      </c>
      <c r="C35" s="777">
        <v>9120</v>
      </c>
      <c r="D35" s="630" t="s">
        <v>990</v>
      </c>
      <c r="E35" s="629" t="s">
        <v>991</v>
      </c>
      <c r="F35" s="629" t="s">
        <v>992</v>
      </c>
      <c r="G35" s="629" t="s">
        <v>968</v>
      </c>
      <c r="H35" s="629" t="s">
        <v>969</v>
      </c>
      <c r="I35" s="629" t="s">
        <v>991</v>
      </c>
      <c r="J35" s="776">
        <v>41184</v>
      </c>
      <c r="K35" s="776">
        <v>41184</v>
      </c>
      <c r="L35" s="629" t="s">
        <v>970</v>
      </c>
      <c r="M35" s="629">
        <v>2978</v>
      </c>
      <c r="N35" s="629">
        <v>1340.1000000000001</v>
      </c>
      <c r="O35" s="629">
        <v>1914.4285714285716</v>
      </c>
      <c r="P35" s="629">
        <v>0</v>
      </c>
      <c r="Q35" s="629">
        <v>3828.8571428571436</v>
      </c>
      <c r="R35" s="629">
        <v>0</v>
      </c>
      <c r="S35" s="629">
        <v>0</v>
      </c>
      <c r="T35" s="629">
        <v>0</v>
      </c>
      <c r="U35" s="629">
        <v>0</v>
      </c>
      <c r="V35" s="629">
        <v>0</v>
      </c>
      <c r="W35" s="629"/>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16965</v>
      </c>
      <c r="N36" s="587">
        <f>SUM(N28:N35)</f>
        <v>64281.599999999999</v>
      </c>
      <c r="O36" s="587">
        <f>SUM(O28:O35)</f>
        <v>91830.857142857145</v>
      </c>
      <c r="P36" s="587">
        <f>SUM(P28:P35)</f>
        <v>151122.85714285716</v>
      </c>
      <c r="Q36" s="587">
        <f>SUM(Q28:Q35)</f>
        <v>32538.857142857149</v>
      </c>
      <c r="R36" s="587">
        <f>SUM(R28:R35)</f>
        <v>0</v>
      </c>
      <c r="S36" s="587">
        <f>SUM(S28:S35)</f>
        <v>0</v>
      </c>
      <c r="T36" s="587">
        <f>SUM(T28:T35)</f>
        <v>0</v>
      </c>
      <c r="U36" s="587">
        <f>SUM(U28:U35)</f>
        <v>0</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197</v>
      </c>
      <c r="N38" s="587">
        <f ca="1">SUMIF($Z$28:AD35,"tertiair",N28:N35)</f>
        <v>886.5</v>
      </c>
      <c r="O38" s="587">
        <f ca="1">SUMIF($Z$28:AE35,"tertiair",O28:O35)</f>
        <v>1266.4285714285716</v>
      </c>
      <c r="P38" s="587">
        <f ca="1">SUMIF($Z$28:AF35,"tertiair",P28:P35)</f>
        <v>2532.8571428571431</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16768</v>
      </c>
      <c r="N39" s="592">
        <f>SUMIF($Z$28:$Z$35,"landbouw",N28:N35)</f>
        <v>63395.1</v>
      </c>
      <c r="O39" s="592">
        <f>SUMIF($Z$28:$Z$35,"landbouw",O28:O35)</f>
        <v>90564.428571428565</v>
      </c>
      <c r="P39" s="592">
        <f>SUMIF($Z$28:$Z$35,"landbouw",P28:P35)</f>
        <v>148590</v>
      </c>
      <c r="Q39" s="592">
        <f>SUMIF($Z$28:$Z$35,"landbouw",Q28:Q35)</f>
        <v>32538.857142857149</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541</v>
      </c>
      <c r="Q41" s="627" t="s">
        <v>102</v>
      </c>
      <c r="R41" s="627" t="s">
        <v>103</v>
      </c>
      <c r="S41" s="627" t="s">
        <v>104</v>
      </c>
      <c r="T41" s="627" t="s">
        <v>105</v>
      </c>
      <c r="U41" s="627" t="s">
        <v>106</v>
      </c>
      <c r="V41" s="627" t="s">
        <v>107</v>
      </c>
      <c r="W41" s="626" t="s">
        <v>108</v>
      </c>
      <c r="X41" s="626" t="s">
        <v>294</v>
      </c>
      <c r="Y41" s="626" t="s">
        <v>109</v>
      </c>
      <c r="Z41" s="628" t="s">
        <v>295</v>
      </c>
    </row>
    <row r="42" spans="1:27" s="598" customFormat="1" ht="25.5">
      <c r="A42" s="584"/>
      <c r="B42" s="777">
        <v>46003</v>
      </c>
      <c r="C42" s="777">
        <v>9130</v>
      </c>
      <c r="D42" s="632" t="s">
        <v>993</v>
      </c>
      <c r="E42" s="632" t="s">
        <v>994</v>
      </c>
      <c r="F42" s="632" t="s">
        <v>995</v>
      </c>
      <c r="G42" s="632" t="s">
        <v>996</v>
      </c>
      <c r="H42" s="632" t="s">
        <v>997</v>
      </c>
      <c r="I42" s="632" t="s">
        <v>998</v>
      </c>
      <c r="J42" s="776">
        <v>37067</v>
      </c>
      <c r="K42" s="776">
        <v>37288</v>
      </c>
      <c r="L42" s="632" t="s">
        <v>999</v>
      </c>
      <c r="M42" s="632">
        <v>660</v>
      </c>
      <c r="N42" s="632">
        <v>2970</v>
      </c>
      <c r="O42" s="632">
        <v>0</v>
      </c>
      <c r="P42" s="632">
        <v>0</v>
      </c>
      <c r="Q42" s="632">
        <v>8485.7142857142862</v>
      </c>
      <c r="R42" s="632">
        <v>0</v>
      </c>
      <c r="S42" s="632">
        <v>0</v>
      </c>
      <c r="T42" s="632">
        <v>0</v>
      </c>
      <c r="U42" s="632">
        <v>0</v>
      </c>
      <c r="V42" s="632">
        <v>0</v>
      </c>
      <c r="W42" s="632"/>
      <c r="X42" s="632">
        <v>500</v>
      </c>
      <c r="Y42" s="632" t="s">
        <v>40</v>
      </c>
      <c r="Z42" s="633" t="s">
        <v>384</v>
      </c>
    </row>
    <row r="43" spans="1:27" s="565" customFormat="1">
      <c r="A43" s="585" t="s">
        <v>275</v>
      </c>
      <c r="B43" s="586"/>
      <c r="C43" s="586"/>
      <c r="D43" s="586"/>
      <c r="E43" s="586"/>
      <c r="F43" s="586"/>
      <c r="G43" s="586"/>
      <c r="H43" s="586"/>
      <c r="I43" s="586"/>
      <c r="J43" s="586"/>
      <c r="K43" s="586"/>
      <c r="L43" s="587"/>
      <c r="M43" s="587">
        <f>SUM(M42:M42)</f>
        <v>660</v>
      </c>
      <c r="N43" s="587">
        <f>SUM(N42:N42)</f>
        <v>2970</v>
      </c>
      <c r="O43" s="587">
        <f>SUM(O42:O42)</f>
        <v>0</v>
      </c>
      <c r="P43" s="587">
        <f>SUM(P42:P42)</f>
        <v>0</v>
      </c>
      <c r="Q43" s="587">
        <f>SUM(Q42:Q42)</f>
        <v>8485.7142857142862</v>
      </c>
      <c r="R43" s="587">
        <f>SUM(R42:R42)</f>
        <v>0</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660</v>
      </c>
      <c r="N44" s="587">
        <f>SUMIF($Z$42:$Z$42,"industrie",N42:N42)</f>
        <v>2970</v>
      </c>
      <c r="O44" s="587">
        <f>SUMIF($Z$42:$Z$42,"industrie",O42:O42)</f>
        <v>0</v>
      </c>
      <c r="P44" s="587">
        <f>SUMIF($Z$42:$Z$42,"industrie",P42:P42)</f>
        <v>0</v>
      </c>
      <c r="Q44" s="587">
        <f>SUMIF($Z$42:$Z$42,"industrie",Q42:Q42)</f>
        <v>8485.7142857142862</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0.58823529411764708</v>
      </c>
      <c r="C52" s="612">
        <f>IF(ISERROR(N36/(O36+N36)),0,N36/(N36+O36))</f>
        <v>0.41176470588235298</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62227.058823529427</v>
      </c>
      <c r="C55" s="621">
        <f t="shared" si="2"/>
        <v>13398.352941176474</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$B$52*P36</f>
        <v>88895.798319327747</v>
      </c>
      <c r="C56" s="624">
        <f t="shared" si="3"/>
        <v>19140.504201680676</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2021-06-29T16:47:53Z</dcterms:modified>
</cp:coreProperties>
</file>