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<sst xmlns="http://schemas.openxmlformats.org/spreadsheetml/2006/main" count="2574" uniqueCount="972">
  <si>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</si>
  <si>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</si>
  <si>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</si>
  <si>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</si>
  <si>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</si>
  <si>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</si>
  <si>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</si>
  <si>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</si>
  <si>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</si>
  <si>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</si>
  <si>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</si>
  <si>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</si>
  <si>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</si>
  <si>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</si>
  <si>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</si>
  <si>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</si>
  <si>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</si>
  <si>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</si>
  <si>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</si>
  <si>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</si>
  <si>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</si>
  <si>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</si>
  <si>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</si>
  <si>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</si>
  <si>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</si>
  <si>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</si>
  <si>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</si>
  <si>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</si>
  <si>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</si>
  <si>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</si>
  <si>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</si>
  <si>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</si>
  <si>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</si>
  <si>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</si>
  <si>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</si>
  <si>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</si>
  <si>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</si>
  <si>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</si>
  <si>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</si>
  <si>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</si>
  <si>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</si>
  <si>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</si>
  <si>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</si>
  <si>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</si>
  <si>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</si>
  <si>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</si>
  <si>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</si>
  <si>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</si>
  <si>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</si>
  <si>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</si>
  <si>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</si>
  <si>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</si>
  <si>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</si>
  <si>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</si>
  <si>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</si>
  <si>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</si>
  <si>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</si>
  <si>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</si>
  <si>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</si>
  <si>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</si>
  <si>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</si>
  <si>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</si>
  <si>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</si>
  <si>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</si>
  <si>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</si>
  <si>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</si>
  <si>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</si>
  <si>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</si>
  <si>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</si>
  <si>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</si>
  <si>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</si>
  <si>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</si>
  <si>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</si>
  <si>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</si>
  <si>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</si>
  <si>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</si>
  <si>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</si>
  <si>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</si>
  <si>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</si>
  <si>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</si>
  <si>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</si>
  <si>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</si>
  <si>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</si>
  <si>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</si>
  <si>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</si>
  <si>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</si>
  <si>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</si>
  <si>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</si>
  <si>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</si>
  <si>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</si>
  <si>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</si>
  <si>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</si>
  <si>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</si>
  <si>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</si>
  <si>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</si>
  <si>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</si>
  <si>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</si>
  <si>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</si>
  <si>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</si>
  <si>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</si>
  <si>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</si>
  <si>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</si>
  <si>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</si>
  <si>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</si>
  <si>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</si>
  <si>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</si>
  <si>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</si>
  <si>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</si>
  <si>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</si>
  <si>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</si>
  <si>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</si>
  <si>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</si>
  <si>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</si>
  <si>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</si>
  <si>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</si>
  <si>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</si>
  <si>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</si>
  <si>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</si>
  <si>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</si>
  <si>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</si>
  <si>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</si>
  <si>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</si>
  <si>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</si>
  <si>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</si>
  <si>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</si>
  <si>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</si>
  <si>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</si>
  <si>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</si>
  <si>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</si>
  <si>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</si>
  <si>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</si>
  <si>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</si>
  <si>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</si>
  <si>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</si>
  <si>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</si>
  <si>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</si>
  <si>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</si>
  <si>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</si>
  <si>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</si>
  <si>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</si>
  <si>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</si>
  <si>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</si>
  <si>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</si>
  <si>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</si>
  <si>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</si>
  <si>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</si>
  <si>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</si>
  <si>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</si>
  <si>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</si>
  <si>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</si>
  <si>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</si>
  <si>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</si>
  <si>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</si>
  <si>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</si>
  <si>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</si>
  <si>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</si>
  <si>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</si>
  <si>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</si>
  <si>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</si>
  <si>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</si>
  <si>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</si>
  <si>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</si>
  <si>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</si>
  <si>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</si>
  <si>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</si>
  <si>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</si>
  <si>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</si>
  <si>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</si>
  <si>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</si>
  <si>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</si>
  <si>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</si>
  <si>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</si>
  <si>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</si>
  <si>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</si>
  <si>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</si>
  <si>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</si>
  <si>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</si>
  <si>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</si>
  <si>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</si>
  <si>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</si>
  <si>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</si>
  <si>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</si>
  <si>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</si>
  <si>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</si>
  <si>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</si>
  <si>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</si>
  <si>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</si>
  <si>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</si>
  <si>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</si>
  <si>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</si>
  <si>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</si>
  <si>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</si>
  <si>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</si>
  <si>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</si>
  <si>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</si>
  <si>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</si>
  <si>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</si>
  <si>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</si>
  <si>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</si>
  <si>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</si>
  <si>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</si>
  <si>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</si>
  <si>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</si>
  <si>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</si>
  <si>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</si>
  <si>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</si>
  <si>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</si>
  <si>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</si>
  <si>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</si>
  <si>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</si>
  <si>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</si>
  <si>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</si>
  <si>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</si>
  <si>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</si>
  <si>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</si>
  <si>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</si>
  <si>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</si>
  <si>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</si>
  <si>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</si>
  <si>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</si>
  <si>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</si>
  <si>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</si>
  <si>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</si>
  <si>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</si>
  <si>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</si>
  <si>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</si>
  <si>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</si>
  <si>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</si>
  <si>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</si>
  <si>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</si>
  <si>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</si>
  <si>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</si>
  <si>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</si>
  <si>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</si>
  <si>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</si>
  <si>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</si>
  <si>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</si>
  <si>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</si>
  <si>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</si>
  <si>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</si>
  <si>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</si>
  <si>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</si>
  <si>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</si>
  <si>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</si>
  <si>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</si>
  <si>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</si>
  <si>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</si>
  <si>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</si>
  <si>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</si>
  <si>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</si>
  <si>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</si>
  <si>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</si>
  <si>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</si>
  <si>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</si>
  <si>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</si>
  <si>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</si>
  <si>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</si>
  <si>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</si>
  <si>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</si>
  <si>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</si>
  <si>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</si>
  <si>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</si>
  <si>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</si>
  <si>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</si>
  <si>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</si>
  <si>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</si>
  <si>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</si>
  <si>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</si>
  <si>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</si>
  <si>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</si>
  <si>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</si>
  <si>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</si>
  <si>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</si>
  <si>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</si>
  <si>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</si>
  <si>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</si>
  <si>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</si>
  <si>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</si>
  <si>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</si>
  <si>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</si>
  <si>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</si>
  <si>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</si>
  <si>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</si>
  <si>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</si>
  <si>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</si>
  <si>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</si>
  <si>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</si>
  <si>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</si>
  <si>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</si>
  <si>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</si>
  <si>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</si>
  <si>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</si>
  <si>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</si>
  <si>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</si>
  <si>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</si>
  <si>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</si>
  <si>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</si>
  <si>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</si>
  <si>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</si>
  <si>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</si>
  <si>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</si>
  <si>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</si>
  <si>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</si>
  <si>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</si>
  <si>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</si>
  <si>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</si>
  <si>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</si>
  <si>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</si>
  <si>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</si>
  <si>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</si>
  <si>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</si>
  <si>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</si>
  <si>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</si>
  <si>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</si>
  <si>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</si>
  <si>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</si>
  <si>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</si>
  <si>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</si>
  <si>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</si>
  <si>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</si>
  <si>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</si>
  <si>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</si>
  <si>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</si>
  <si>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</si>
  <si>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</si>
  <si>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</si>
  <si>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</si>
  <si>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</si>
  <si>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</si>
  <si>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</si>
  <si>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</si>
  <si>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</si>
  <si>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</si>
  <si>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</si>
  <si>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</si>
  <si>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</si>
  <si>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</si>
  <si>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</si>
  <si>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</si>
  <si>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</si>
  <si>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</si>
  <si>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</si>
  <si>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</si>
  <si>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</si>
  <si>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</si>
  <si>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</si>
  <si>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</si>
  <si>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</si>
  <si>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</si>
  <si>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</si>
  <si>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</si>
  <si>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</si>
  <si>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</si>
  <si>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</si>
  <si>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</si>
  <si>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</si>
  <si>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</si>
  <si>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</si>
  <si>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</si>
  <si>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</si>
  <si>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</si>
  <si>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</si>
  <si>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</si>
  <si>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</si>
  <si>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</si>
  <si>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</si>
  <si>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</si>
  <si>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</si>
  <si>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</si>
  <si>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</si>
  <si>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</si>
  <si>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</si>
  <si>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</si>
  <si>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</si>
  <si>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</si>
  <si>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</si>
  <si>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</si>
  <si>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</si>
  <si>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</si>
  <si>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</si>
  <si>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</si>
  <si>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</si>
  <si>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</si>
  <si>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</si>
  <si>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</si>
  <si>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</si>
  <si>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</si>
  <si>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</si>
  <si>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</si>
  <si>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</si>
  <si>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</si>
  <si>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</si>
  <si>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</si>
  <si>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</si>
  <si>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</si>
  <si>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</si>
  <si>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</si>
  <si>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</si>
  <si>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</si>
  <si>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</si>
  <si>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</si>
  <si>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</si>
  <si>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</si>
  <si>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</si>
  <si>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</si>
  <si>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</si>
  <si>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</si>
  <si>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</si>
  <si>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</si>
  <si>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</si>
  <si>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</si>
  <si>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</si>
  <si>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</si>
  <si>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</si>
  <si>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</si>
  <si>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</si>
  <si>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</si>
  <si>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</si>
  <si>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</si>
  <si>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</si>
  <si>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</si>
  <si>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</si>
  <si>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</si>
  <si>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</si>
  <si>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</si>
  <si>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</si>
  <si>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</si>
  <si>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</si>
  <si>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</si>
  <si>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</si>
  <si>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</si>
  <si>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</si>
  <si>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</si>
  <si>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</si>
  <si>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</si>
  <si>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</si>
  <si>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</si>
  <si>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</si>
  <si>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</si>
  <si>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</si>
  <si>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</si>
  <si>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</si>
  <si>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</si>
  <si>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</si>
  <si>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</si>
  <si>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</si>
  <si>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</si>
  <si>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</si>
  <si>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</si>
  <si>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</si>
  <si>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</si>
  <si>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</si>
  <si>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</si>
  <si>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</si>
  <si>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</si>
  <si>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</si>
  <si>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</si>
  <si>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</si>
  <si>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</si>
  <si>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</si>
  <si>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</si>
  <si>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</si>
  <si>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</si>
  <si>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</si>
  <si>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</si>
  <si>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</si>
  <si>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</si>
  <si>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</si>
  <si>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</si>
  <si>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</si>
  <si>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</si>
  <si>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</si>
  <si>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</si>
  <si>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</si>
  <si>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</si>
  <si>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</si>
  <si>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</si>
  <si>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</si>
  <si>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</si>
  <si>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</si>
  <si>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</si>
  <si>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</si>
  <si>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</si>
  <si>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</si>
  <si>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</si>
  <si>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</si>
  <si>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</si>
  <si>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</si>
  <si>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</si>
  <si>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</si>
  <si>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</si>
  <si>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</si>
  <si>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</si>
  <si>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</si>
  <si>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</si>
  <si>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</si>
  <si>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</si>
  <si>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</si>
  <si>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</si>
  <si>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</si>
  <si>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</si>
  <si>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</si>
  <si>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</si>
  <si>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</si>
  <si>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</si>
  <si>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</si>
  <si>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</si>
  <si>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</si>
  <si>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</si>
  <si>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</si>
  <si>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</si>
  <si>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</si>
  <si>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</si>
  <si>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</si>
  <si>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</si>
  <si>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</si>
  <si>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</si>
  <si>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</si>
  <si>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</si>
  <si>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</si>
  <si>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</si>
  <si>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</si>
  <si>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</si>
  <si>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</si>
  <si>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</si>
  <si>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</si>
  <si>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</si>
  <si>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</si>
  <si>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</si>
  <si>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</si>
  <si>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</si>
  <si>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</si>
  <si>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</si>
  <si>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</si>
  <si>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</si>
  <si>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</si>
  <si>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</si>
  <si>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</si>
  <si>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</si>
  <si>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</si>
  <si>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</si>
  <si>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</si>
  <si>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</si>
  <si>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</si>
  <si>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</si>
  <si>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</si>
  <si>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</si>
  <si>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</si>
  <si>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</si>
  <si>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</si>
  <si>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</si>
  <si>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</si>
  <si>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</si>
  <si>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</si>
  <si>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</si>
  <si>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</si>
  <si>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</si>
  <si>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</si>
  <si>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</si>
  <si>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</si>
  <si>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</si>
  <si>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</si>
  <si>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</si>
  <si>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</si>
  <si>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</si>
  <si>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</si>
  <si>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</si>
  <si>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</si>
  <si>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</si>
  <si>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</si>
  <si>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</si>
  <si>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</si>
  <si>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</si>
  <si>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</si>
  <si>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</si>
  <si>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</si>
  <si>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</si>
  <si>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</si>
  <si>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</si>
  <si>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</si>
  <si>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</si>
  <si>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</si>
  <si>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</si>
  <si>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</si>
  <si>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</si>
  <si>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</si>
  <si>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</si>
  <si>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</si>
  <si>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</si>
  <si>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</si>
  <si>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</si>
  <si>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</si>
  <si>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</si>
  <si>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</si>
  <si>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</si>
  <si>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</si>
  <si>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</si>
  <si>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</si>
  <si>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</si>
  <si>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</si>
  <si>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</si>
  <si>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</si>
  <si>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</si>
  <si>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</si>
  <si>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</si>
  <si>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</si>
  <si>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</si>
  <si>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</si>
  <si>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</si>
  <si>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</si>
  <si>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</si>
  <si>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</si>
  <si>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</si>
  <si>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</si>
  <si>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</si>
  <si>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</si>
  <si>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</si>
  <si>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</si>
  <si>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</si>
  <si>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</si>
  <si>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</si>
  <si>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</si>
  <si>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</si>
  <si>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</si>
  <si>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</si>
  <si>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</si>
  <si>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</si>
  <si>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</si>
  <si>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</si>
  <si>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</si>
  <si>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</si>
  <si>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</si>
  <si>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</si>
  <si>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</si>
  <si>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</si>
  <si>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</si>
  <si>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</si>
  <si>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</si>
  <si>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</si>
  <si>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</si>
  <si>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</si>
  <si>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</si>
  <si>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</si>
  <si>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</si>
  <si>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</si>
  <si>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</si>
  <si>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</si>
  <si>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</si>
  <si>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</si>
  <si>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</si>
  <si>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</si>
  <si>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</si>
  <si>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</si>
  <si>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</si>
  <si>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</si>
  <si>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</si>
  <si>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</si>
  <si>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</si>
  <si>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</si>
  <si>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</si>
  <si>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</si>
  <si>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</si>
  <si>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</si>
  <si>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</si>
  <si>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</si>
  <si>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</si>
  <si>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</si>
  <si>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</si>
  <si>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</si>
  <si>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</si>
  <si>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</si>
  <si>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</si>
  <si>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</si>
  <si>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</si>
  <si>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</si>
  <si>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</si>
  <si>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</si>
  <si>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</si>
  <si>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</si>
  <si>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</si>
  <si>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</si>
  <si>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</si>
  <si>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</si>
  <si>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</si>
  <si>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</si>
  <si>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</si>
  <si>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</si>
  <si>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</si>
  <si>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</si>
  <si>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</si>
  <si>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</si>
  <si>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</si>
  <si>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</si>
  <si>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</si>
  <si>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</si>
  <si>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</si>
  <si>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</si>
  <si>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</si>
  <si>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</si>
  <si>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</si>
  <si>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</si>
  <si>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</si>
  <si>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</si>
  <si>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</si>
  <si>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</si>
  <si>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</si>
  <si>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</si>
  <si>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</si>
  <si>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</si>
  <si>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</si>
  <si>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</si>
  <si>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</si>
  <si>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</si>
  <si>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</si>
  <si>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</si>
  <si>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</si>
  <si>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</si>
  <si>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</si>
  <si>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</si>
  <si>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</si>
  <si>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</si>
  <si>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</si>
  <si>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</si>
  <si>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</si>
  <si>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</si>
  <si>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</si>
  <si>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</si>
  <si>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</si>
  <si>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</si>
  <si>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</si>
  <si>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</si>
  <si>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</si>
  <si>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</si>
  <si>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</si>
  <si>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</si>
  <si>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</si>
  <si>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</si>
  <si>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</si>
  <si>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</si>
  <si>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</si>
  <si>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</si>
  <si>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</si>
  <si>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</si>
  <si>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</si>
  <si>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</si>
  <si>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</si>
  <si>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</si>
  <si>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</si>
  <si>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</si>
  <si>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</si>
  <si>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</si>
  <si>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</si>
  <si>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</si>
  <si>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</si>
  <si>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</si>
  <si>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</si>
  <si>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</si>
  <si>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</si>
  <si>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</si>
  <si>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</si>
  <si>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</si>
  <si>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</si>
  <si>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</si>
  <si>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</si>
  <si>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</si>
  <si>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</si>
  <si>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</si>
  <si>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</si>
  <si>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</si>
  <si>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</si>
  <si>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</si>
  <si>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</si>
  <si>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</si>
  <si>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</si>
  <si>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</si>
  <si>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</si>
  <si>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</si>
  <si>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</si>
  <si>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</si>
  <si>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</si>
  <si>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</si>
  <si>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</si>
  <si>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</si>
  <si>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</si>
  <si>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</si>
  <si>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</si>
  <si>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</si>
  <si>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</si>
  <si>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</si>
  <si>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</si>
  <si>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</si>
  <si>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</si>
  <si>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</si>
  <si>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</si>
  <si>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</si>
  <si>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</si>
  <si>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</si>
  <si>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</si>
  <si>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</si>
  <si>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</si>
  <si>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</si>
  <si>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</si>
  <si>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</si>
  <si>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</si>
  <si>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</si>
  <si>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</si>
  <si>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</si>
  <si>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</si>
  <si>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</si>
  <si>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</si>
  <si>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</si>
  <si>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</si>
  <si>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</si>
  <si>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</si>
  <si>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</si>
  <si>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</si>
  <si>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</si>
  <si>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</si>
  <si>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</si>
  <si>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</si>
  <si>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</si>
  <si>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</si>
  <si>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</si>
  <si>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</si>
  <si>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</si>
  <si>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</si>
  <si>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</si>
  <si>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</si>
  <si>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</si>
  <si>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</si>
  <si>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</si>
  <si>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</si>
  <si>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</si>
  <si>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</si>
  <si>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</si>
  <si>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</si>
  <si>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</si>
  <si>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</si>
  <si>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</si>
  <si>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</si>
  <si>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</si>
  <si>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</si>
  <si>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</si>
  <si>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</si>
  <si>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</si>
  <si>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</si>
  <si>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</si>
  <si>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</si>
  <si>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</si>
  <si>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</si>
  <si>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</si>
  <si>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</si>
  <si>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</si>
  <si>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</si>
  <si>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</si>
  <si>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</si>
  <si>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</si>
  <si>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</si>
  <si>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</si>
  <si>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</si>
  <si>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</si>
  <si>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</si>
  <si>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</si>
  <si>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</si>
  <si>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</si>
  <si>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</si>
  <si>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</si>
  <si>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</si>
  <si>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</si>
  <si>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</si>
  <si>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</si>
  <si>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</si>
  <si>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</si>
  <si>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</si>
  <si>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</si>
  <si>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</si>
  <si>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</si>
  <si>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</si>
  <si>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</si>
  <si>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</si>
  <si>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</si>
  <si>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</si>
  <si>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</si>
  <si>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</si>
  <si>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</si>
  <si>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</si>
  <si>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</si>
  <si>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</si>
  <si>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</si>
  <si>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</si>
  <si>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</si>
  <si>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</si>
  <si>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</si>
  <si>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</si>
  <si>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</si>
  <si>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</si>
  <si>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</si>
  <si>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</si>
  <si>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</si>
  <si>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</si>
  <si>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</si>
  <si>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</si>
  <si>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</si>
  <si>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</si>
  <si>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</si>
  <si>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</si>
  <si>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</si>
  <si>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</si>
  <si>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</si>
  <si>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</si>
  <si>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</si>
  <si>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</si>
  <si>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</si>
  <si>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</si>
  <si>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</si>
  <si>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</si>
  <si>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</si>
  <si>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</si>
  <si>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</si>
  <si>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</si>
  <si>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</si>
  <si>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</si>
  <si>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</si>
  <si>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</si>
  <si>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</si>
  <si>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</si>
  <si>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</si>
  <si>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</si>
  <si>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</si>
  <si>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</si>
  <si>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</si>
  <si>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</si>
  <si>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</si>
  <si>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</si>
  <si>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</si>
  <si>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</si>
  <si>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</si>
  <si>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</si>
  <si>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</si>
  <si>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</si>
  <si>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</si>
  <si>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</si>
  <si>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</si>
  <si>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</si>
  <si>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</si>
  <si>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</si>
  <si>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</si>
  <si>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</si>
  <si>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</si>
  <si>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</si>
  <si>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</si>
  <si>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</si>
  <si>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</si>
  <si>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</si>
  <si>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</si>
  <si>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</si>
  <si>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</si>
  <si>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</si>
  <si>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</si>
  <si>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45017</t>
  </si>
  <si>
    <t>KRUISHOUTEM</t>
  </si>
  <si>
    <t>Paarden&amp;pony's 200 - 600 kg</t>
  </si>
  <si>
    <t>Paarden&amp;pony's &lt; 200 kg</t>
  </si>
  <si>
    <t>Fluvius</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</si>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</sst>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45017</v>
      </c>
      <c r="B6" s="386"/>
      <c r="C6" s="387"/>
    </row>
    <row r="7" spans="1:7" s="384" customFormat="1" ht="15.75" customHeight="1">
      <c r="A7" s="388" t="str">
        <f>txtMunicipality</f>
        <v>KRUISHOUTEM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11052.122922015102</v>
      </c>
      <c r="D10" s="676">
        <f ca="1">tertiair!C16</f>
        <v>0</v>
      </c>
      <c r="E10" s="676">
        <f ca="1">tertiair!D16</f>
        <v>21104.84324837137</v>
      </c>
      <c r="F10" s="676">
        <f>tertiair!E16</f>
        <v>113.47331029235231</v>
      </c>
      <c r="G10" s="676">
        <f ca="1">tertiair!F16</f>
        <v>2006.4169075422485</v>
      </c>
      <c r="H10" s="676">
        <f>tertiair!G16</f>
        <v>0</v>
      </c>
      <c r="I10" s="676">
        <f>tertiair!H16</f>
        <v>0</v>
      </c>
      <c r="J10" s="676">
        <f>tertiair!I16</f>
        <v>0</v>
      </c>
      <c r="K10" s="676">
        <f>tertiair!J16</f>
        <v>0</v>
      </c>
      <c r="L10" s="676">
        <f>tertiair!K16</f>
        <v>0</v>
      </c>
      <c r="M10" s="676">
        <f ca="1">tertiair!L16</f>
        <v>0</v>
      </c>
      <c r="N10" s="676">
        <f>tertiair!M16</f>
        <v>0</v>
      </c>
      <c r="O10" s="676">
        <f ca="1">tertiair!N16</f>
        <v>392.38165205135874</v>
      </c>
      <c r="P10" s="676">
        <f>tertiair!O16</f>
        <v>4.6900000000000004</v>
      </c>
      <c r="Q10" s="677">
        <f>tertiair!P16</f>
        <v>38.133333333333333</v>
      </c>
      <c r="R10" s="679">
        <f ca="1">SUM(C10:Q10)</f>
        <v>34712.061373605764</v>
      </c>
      <c r="S10" s="68"/>
    </row>
    <row r="11" spans="1:19" s="445" customFormat="1">
      <c r="A11" s="791" t="s">
        <v>220</v>
      </c>
      <c r="B11" s="796"/>
      <c r="C11" s="676">
        <f>huishoudens!B8</f>
        <v>17439.851675354494</v>
      </c>
      <c r="D11" s="676">
        <f>huishoudens!C8</f>
        <v>0</v>
      </c>
      <c r="E11" s="676">
        <f>huishoudens!D8</f>
        <v>12167.012460711841</v>
      </c>
      <c r="F11" s="676">
        <f>huishoudens!E8</f>
        <v>1271.9566380491603</v>
      </c>
      <c r="G11" s="676">
        <f>huishoudens!F8</f>
        <v>38778.265027675458</v>
      </c>
      <c r="H11" s="676">
        <f>huishoudens!G8</f>
        <v>0</v>
      </c>
      <c r="I11" s="676">
        <f>huishoudens!H8</f>
        <v>0</v>
      </c>
      <c r="J11" s="676">
        <f>huishoudens!I8</f>
        <v>0</v>
      </c>
      <c r="K11" s="676">
        <f>huishoudens!J8</f>
        <v>703.61810680227427</v>
      </c>
      <c r="L11" s="676">
        <f>huishoudens!K8</f>
        <v>0</v>
      </c>
      <c r="M11" s="676">
        <f>huishoudens!L8</f>
        <v>0</v>
      </c>
      <c r="N11" s="676">
        <f>huishoudens!M8</f>
        <v>0</v>
      </c>
      <c r="O11" s="676">
        <f>huishoudens!N8</f>
        <v>5082.2097852726092</v>
      </c>
      <c r="P11" s="676">
        <f>huishoudens!O8</f>
        <v>54.716666666666669</v>
      </c>
      <c r="Q11" s="677">
        <f>huishoudens!P8</f>
        <v>286</v>
      </c>
      <c r="R11" s="679">
        <f>SUM(C11:Q11)</f>
        <v>75783.630360532494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132692.38808911396</v>
      </c>
      <c r="D13" s="676">
        <f>industrie!C18</f>
        <v>1632.8571428571429</v>
      </c>
      <c r="E13" s="676">
        <f>industrie!D18</f>
        <v>120082.29590071685</v>
      </c>
      <c r="F13" s="676">
        <f>industrie!E18</f>
        <v>1216.9333402777111</v>
      </c>
      <c r="G13" s="676">
        <f>industrie!F18</f>
        <v>25481.837841780332</v>
      </c>
      <c r="H13" s="676">
        <f>industrie!G18</f>
        <v>0</v>
      </c>
      <c r="I13" s="676">
        <f>industrie!H18</f>
        <v>0</v>
      </c>
      <c r="J13" s="676">
        <f>industrie!I18</f>
        <v>0</v>
      </c>
      <c r="K13" s="676">
        <f>industrie!J18</f>
        <v>601.78562354000599</v>
      </c>
      <c r="L13" s="676">
        <f>industrie!K18</f>
        <v>0</v>
      </c>
      <c r="M13" s="676">
        <f>industrie!L18</f>
        <v>0</v>
      </c>
      <c r="N13" s="676">
        <f>industrie!M18</f>
        <v>0</v>
      </c>
      <c r="O13" s="676">
        <f>industrie!N18</f>
        <v>4270.9307507417116</v>
      </c>
      <c r="P13" s="676">
        <f>industrie!O18</f>
        <v>0</v>
      </c>
      <c r="Q13" s="677">
        <f>industrie!P18</f>
        <v>0</v>
      </c>
      <c r="R13" s="679">
        <f>SUM(C13:Q13)</f>
        <v>285979.02868902771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161184.36268648354</v>
      </c>
      <c r="D16" s="709">
        <f t="shared" ref="D16:R16" ca="1" si="0">SUM(D9:D15)</f>
        <v>1632.8571428571429</v>
      </c>
      <c r="E16" s="709">
        <f t="shared" ca="1" si="0"/>
        <v>153354.15160980006</v>
      </c>
      <c r="F16" s="709">
        <f t="shared" si="0"/>
        <v>2602.3632886192236</v>
      </c>
      <c r="G16" s="709">
        <f t="shared" ca="1" si="0"/>
        <v>66266.51977699803</v>
      </c>
      <c r="H16" s="709">
        <f t="shared" si="0"/>
        <v>0</v>
      </c>
      <c r="I16" s="709">
        <f t="shared" si="0"/>
        <v>0</v>
      </c>
      <c r="J16" s="709">
        <f t="shared" si="0"/>
        <v>0</v>
      </c>
      <c r="K16" s="709">
        <f t="shared" si="0"/>
        <v>1305.4037303422801</v>
      </c>
      <c r="L16" s="709">
        <f t="shared" si="0"/>
        <v>0</v>
      </c>
      <c r="M16" s="709">
        <f t="shared" ca="1" si="0"/>
        <v>0</v>
      </c>
      <c r="N16" s="709">
        <f t="shared" si="0"/>
        <v>0</v>
      </c>
      <c r="O16" s="709">
        <f t="shared" ca="1" si="0"/>
        <v>9745.5221880656791</v>
      </c>
      <c r="P16" s="709">
        <f t="shared" si="0"/>
        <v>59.406666666666666</v>
      </c>
      <c r="Q16" s="709">
        <f t="shared" si="0"/>
        <v>324.13333333333333</v>
      </c>
      <c r="R16" s="709">
        <f t="shared" ca="1" si="0"/>
        <v>396474.72042316594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2.4627661178246969</v>
      </c>
      <c r="D19" s="676">
        <f>transport!C54</f>
        <v>0</v>
      </c>
      <c r="E19" s="676">
        <f>transport!D54</f>
        <v>0</v>
      </c>
      <c r="F19" s="676">
        <f>transport!E54</f>
        <v>0</v>
      </c>
      <c r="G19" s="676">
        <f>transport!F54</f>
        <v>0</v>
      </c>
      <c r="H19" s="676">
        <f>transport!G54</f>
        <v>491.20355770447378</v>
      </c>
      <c r="I19" s="676">
        <f>transport!H54</f>
        <v>0</v>
      </c>
      <c r="J19" s="676">
        <f>transport!I54</f>
        <v>0</v>
      </c>
      <c r="K19" s="676">
        <f>transport!J54</f>
        <v>0</v>
      </c>
      <c r="L19" s="676">
        <f>transport!K54</f>
        <v>0</v>
      </c>
      <c r="M19" s="676">
        <f>transport!L54</f>
        <v>0</v>
      </c>
      <c r="N19" s="676">
        <f>transport!M54</f>
        <v>21.710674089381865</v>
      </c>
      <c r="O19" s="676">
        <f>transport!N54</f>
        <v>0</v>
      </c>
      <c r="P19" s="676">
        <f>transport!O54</f>
        <v>0</v>
      </c>
      <c r="Q19" s="677">
        <f>transport!P54</f>
        <v>0</v>
      </c>
      <c r="R19" s="679">
        <f>SUM(C19:Q19)</f>
        <v>515.37699791168029</v>
      </c>
      <c r="S19" s="68"/>
    </row>
    <row r="20" spans="1:19" s="445" customFormat="1">
      <c r="A20" s="791" t="s">
        <v>302</v>
      </c>
      <c r="B20" s="796"/>
      <c r="C20" s="676">
        <f>transport!B14</f>
        <v>10.042112610891349</v>
      </c>
      <c r="D20" s="676">
        <f>transport!C14</f>
        <v>0</v>
      </c>
      <c r="E20" s="676">
        <f>transport!D14</f>
        <v>10.894258934435706</v>
      </c>
      <c r="F20" s="676">
        <f>transport!E14</f>
        <v>810.77429819198312</v>
      </c>
      <c r="G20" s="676">
        <f>transport!F14</f>
        <v>0</v>
      </c>
      <c r="H20" s="676">
        <f>transport!G14</f>
        <v>244277.37235578994</v>
      </c>
      <c r="I20" s="676">
        <f>transport!H14</f>
        <v>27386.328492276571</v>
      </c>
      <c r="J20" s="676">
        <f>transport!I14</f>
        <v>0</v>
      </c>
      <c r="K20" s="676">
        <f>transport!J14</f>
        <v>0</v>
      </c>
      <c r="L20" s="676">
        <f>transport!K14</f>
        <v>0</v>
      </c>
      <c r="M20" s="676">
        <f>transport!L14</f>
        <v>0</v>
      </c>
      <c r="N20" s="676">
        <f>transport!M14</f>
        <v>12123.712774724028</v>
      </c>
      <c r="O20" s="676">
        <f>transport!N14</f>
        <v>0</v>
      </c>
      <c r="P20" s="676">
        <f>transport!O14</f>
        <v>0</v>
      </c>
      <c r="Q20" s="677">
        <f>transport!P14</f>
        <v>0</v>
      </c>
      <c r="R20" s="679">
        <f>SUM(C20:Q20)</f>
        <v>284619.12429252779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12.504878728716047</v>
      </c>
      <c r="D22" s="794">
        <f t="shared" ref="D22:R22" si="1">SUM(D18:D21)</f>
        <v>0</v>
      </c>
      <c r="E22" s="794">
        <f t="shared" si="1"/>
        <v>10.894258934435706</v>
      </c>
      <c r="F22" s="794">
        <f t="shared" si="1"/>
        <v>810.77429819198312</v>
      </c>
      <c r="G22" s="794">
        <f t="shared" si="1"/>
        <v>0</v>
      </c>
      <c r="H22" s="794">
        <f t="shared" si="1"/>
        <v>244768.57591349442</v>
      </c>
      <c r="I22" s="794">
        <f t="shared" si="1"/>
        <v>27386.328492276571</v>
      </c>
      <c r="J22" s="794">
        <f t="shared" si="1"/>
        <v>0</v>
      </c>
      <c r="K22" s="794">
        <f t="shared" si="1"/>
        <v>0</v>
      </c>
      <c r="L22" s="794">
        <f t="shared" si="1"/>
        <v>0</v>
      </c>
      <c r="M22" s="794">
        <f t="shared" si="1"/>
        <v>0</v>
      </c>
      <c r="N22" s="794">
        <f t="shared" si="1"/>
        <v>12145.42344881341</v>
      </c>
      <c r="O22" s="794">
        <f t="shared" si="1"/>
        <v>0</v>
      </c>
      <c r="P22" s="794">
        <f t="shared" si="1"/>
        <v>0</v>
      </c>
      <c r="Q22" s="794">
        <f t="shared" si="1"/>
        <v>0</v>
      </c>
      <c r="R22" s="794">
        <f t="shared" si="1"/>
        <v>285134.50129043945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2639.1823403357562</v>
      </c>
      <c r="D24" s="676">
        <f>+landbouw!C8</f>
        <v>0</v>
      </c>
      <c r="E24" s="676">
        <f>+landbouw!D8</f>
        <v>777.93727341666113</v>
      </c>
      <c r="F24" s="676">
        <f>+landbouw!E8</f>
        <v>24.862865956136893</v>
      </c>
      <c r="G24" s="676">
        <f>+landbouw!F8</f>
        <v>8612.5278442127692</v>
      </c>
      <c r="H24" s="676">
        <f>+landbouw!G8</f>
        <v>0</v>
      </c>
      <c r="I24" s="676">
        <f>+landbouw!H8</f>
        <v>0</v>
      </c>
      <c r="J24" s="676">
        <f>+landbouw!I8</f>
        <v>0</v>
      </c>
      <c r="K24" s="676">
        <f>+landbouw!J8</f>
        <v>326.47969247997048</v>
      </c>
      <c r="L24" s="676">
        <f>+landbouw!K8</f>
        <v>0</v>
      </c>
      <c r="M24" s="676">
        <f>+landbouw!L8</f>
        <v>0</v>
      </c>
      <c r="N24" s="676">
        <f>+landbouw!M8</f>
        <v>0</v>
      </c>
      <c r="O24" s="676">
        <f>+landbouw!N8</f>
        <v>0</v>
      </c>
      <c r="P24" s="676">
        <f>+landbouw!O8</f>
        <v>0</v>
      </c>
      <c r="Q24" s="677">
        <f>+landbouw!P8</f>
        <v>0</v>
      </c>
      <c r="R24" s="679">
        <f>SUM(C24:Q24)</f>
        <v>12380.990016401294</v>
      </c>
      <c r="S24" s="68"/>
    </row>
    <row r="25" spans="1:19" s="445" customFormat="1" ht="15" thickBot="1">
      <c r="A25" s="813" t="s">
        <v>879</v>
      </c>
      <c r="B25" s="979"/>
      <c r="C25" s="980">
        <f>IF(Onbekend_ele_kWh="---",0,Onbekend_ele_kWh)/1000+IF(REST_rest_ele_kWh="---",0,REST_rest_ele_kWh)/1000</f>
        <v>651.24348391732508</v>
      </c>
      <c r="D25" s="980"/>
      <c r="E25" s="980">
        <f>IF(onbekend_gas_kWh="---",0,onbekend_gas_kWh)/1000+IF(REST_rest_gas_kWh="---",0,REST_rest_gas_kWh)/1000</f>
        <v>370.93491428383703</v>
      </c>
      <c r="F25" s="980"/>
      <c r="G25" s="980"/>
      <c r="H25" s="980"/>
      <c r="I25" s="980"/>
      <c r="J25" s="980"/>
      <c r="K25" s="980"/>
      <c r="L25" s="980"/>
      <c r="M25" s="980"/>
      <c r="N25" s="980"/>
      <c r="O25" s="980"/>
      <c r="P25" s="980"/>
      <c r="Q25" s="981"/>
      <c r="R25" s="679">
        <f>SUM(C25:Q25)</f>
        <v>1022.1783982011621</v>
      </c>
      <c r="S25" s="68"/>
    </row>
    <row r="26" spans="1:19" s="445" customFormat="1" ht="15.75" thickBot="1">
      <c r="A26" s="682" t="s">
        <v>880</v>
      </c>
      <c r="B26" s="799"/>
      <c r="C26" s="794">
        <f>SUM(C24:C25)</f>
        <v>3290.4258242530814</v>
      </c>
      <c r="D26" s="794">
        <f t="shared" ref="D26:R26" si="2">SUM(D24:D25)</f>
        <v>0</v>
      </c>
      <c r="E26" s="794">
        <f t="shared" si="2"/>
        <v>1148.8721877004982</v>
      </c>
      <c r="F26" s="794">
        <f t="shared" si="2"/>
        <v>24.862865956136893</v>
      </c>
      <c r="G26" s="794">
        <f t="shared" si="2"/>
        <v>8612.5278442127692</v>
      </c>
      <c r="H26" s="794">
        <f t="shared" si="2"/>
        <v>0</v>
      </c>
      <c r="I26" s="794">
        <f t="shared" si="2"/>
        <v>0</v>
      </c>
      <c r="J26" s="794">
        <f t="shared" si="2"/>
        <v>0</v>
      </c>
      <c r="K26" s="794">
        <f t="shared" si="2"/>
        <v>326.47969247997048</v>
      </c>
      <c r="L26" s="794">
        <f t="shared" si="2"/>
        <v>0</v>
      </c>
      <c r="M26" s="794">
        <f t="shared" si="2"/>
        <v>0</v>
      </c>
      <c r="N26" s="794">
        <f t="shared" si="2"/>
        <v>0</v>
      </c>
      <c r="O26" s="794">
        <f t="shared" si="2"/>
        <v>0</v>
      </c>
      <c r="P26" s="794">
        <f t="shared" si="2"/>
        <v>0</v>
      </c>
      <c r="Q26" s="794">
        <f t="shared" si="2"/>
        <v>0</v>
      </c>
      <c r="R26" s="794">
        <f t="shared" si="2"/>
        <v>13403.168414602456</v>
      </c>
      <c r="S26" s="68"/>
    </row>
    <row r="27" spans="1:19" s="445" customFormat="1" ht="17.25" thickTop="1" thickBot="1">
      <c r="A27" s="683" t="s">
        <v>115</v>
      </c>
      <c r="B27" s="786"/>
      <c r="C27" s="684">
        <f ca="1">C22+C16+C26</f>
        <v>164487.29338946534</v>
      </c>
      <c r="D27" s="684">
        <f t="shared" ref="D27:R27" ca="1" si="3">D22+D16+D26</f>
        <v>1632.8571428571429</v>
      </c>
      <c r="E27" s="684">
        <f t="shared" ca="1" si="3"/>
        <v>154513.91805643498</v>
      </c>
      <c r="F27" s="684">
        <f t="shared" si="3"/>
        <v>3438.0004527673436</v>
      </c>
      <c r="G27" s="684">
        <f t="shared" ca="1" si="3"/>
        <v>74879.047621210804</v>
      </c>
      <c r="H27" s="684">
        <f t="shared" si="3"/>
        <v>244768.57591349442</v>
      </c>
      <c r="I27" s="684">
        <f t="shared" si="3"/>
        <v>27386.328492276571</v>
      </c>
      <c r="J27" s="684">
        <f t="shared" si="3"/>
        <v>0</v>
      </c>
      <c r="K27" s="684">
        <f t="shared" si="3"/>
        <v>1631.8834228222506</v>
      </c>
      <c r="L27" s="684">
        <f t="shared" si="3"/>
        <v>0</v>
      </c>
      <c r="M27" s="684">
        <f t="shared" ca="1" si="3"/>
        <v>0</v>
      </c>
      <c r="N27" s="684">
        <f t="shared" si="3"/>
        <v>12145.42344881341</v>
      </c>
      <c r="O27" s="684">
        <f t="shared" ca="1" si="3"/>
        <v>9745.5221880656791</v>
      </c>
      <c r="P27" s="684">
        <f t="shared" si="3"/>
        <v>59.406666666666666</v>
      </c>
      <c r="Q27" s="684">
        <f t="shared" si="3"/>
        <v>324.13333333333333</v>
      </c>
      <c r="R27" s="684">
        <f t="shared" ca="1" si="3"/>
        <v>695012.39012820774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2353.5793086461704</v>
      </c>
      <c r="D40" s="676">
        <f ca="1">tertiair!C20</f>
        <v>0</v>
      </c>
      <c r="E40" s="676">
        <f ca="1">tertiair!D20</f>
        <v>4263.1783361710168</v>
      </c>
      <c r="F40" s="676">
        <f>tertiair!E20</f>
        <v>25.758441436363974</v>
      </c>
      <c r="G40" s="676">
        <f ca="1">tertiair!F20</f>
        <v>535.71331431378042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7178.229400567332</v>
      </c>
    </row>
    <row r="41" spans="1:18">
      <c r="A41" s="804" t="s">
        <v>220</v>
      </c>
      <c r="B41" s="811"/>
      <c r="C41" s="676">
        <f ca="1">huishoudens!B12</f>
        <v>3713.8633309272655</v>
      </c>
      <c r="D41" s="676">
        <f ca="1">huishoudens!C12</f>
        <v>0</v>
      </c>
      <c r="E41" s="676">
        <f>huishoudens!D12</f>
        <v>2457.7365170637922</v>
      </c>
      <c r="F41" s="676">
        <f>huishoudens!E12</f>
        <v>288.73415683715939</v>
      </c>
      <c r="G41" s="676">
        <f>huishoudens!F12</f>
        <v>10353.796762389347</v>
      </c>
      <c r="H41" s="676">
        <f>huishoudens!G12</f>
        <v>0</v>
      </c>
      <c r="I41" s="676">
        <f>huishoudens!H12</f>
        <v>0</v>
      </c>
      <c r="J41" s="676">
        <f>huishoudens!I12</f>
        <v>0</v>
      </c>
      <c r="K41" s="676">
        <f>huishoudens!J12</f>
        <v>249.08080980800509</v>
      </c>
      <c r="L41" s="676">
        <f>huishoudens!K12</f>
        <v>0</v>
      </c>
      <c r="M41" s="676">
        <f>huishoudens!L12</f>
        <v>0</v>
      </c>
      <c r="N41" s="676">
        <f>huishoudens!M12</f>
        <v>0</v>
      </c>
      <c r="O41" s="676">
        <f>huishoudens!N12</f>
        <v>0</v>
      </c>
      <c r="P41" s="676">
        <f>huishoudens!O12</f>
        <v>0</v>
      </c>
      <c r="Q41" s="751">
        <f>huishoudens!P12</f>
        <v>0</v>
      </c>
      <c r="R41" s="832">
        <f t="shared" ca="1" si="4"/>
        <v>17063.21157702557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28257.201012422782</v>
      </c>
      <c r="D43" s="676">
        <f ca="1">industrie!C22</f>
        <v>388.04369747899159</v>
      </c>
      <c r="E43" s="676">
        <f>industrie!D22</f>
        <v>24256.623771944807</v>
      </c>
      <c r="F43" s="676">
        <f>industrie!E22</f>
        <v>276.24386824304042</v>
      </c>
      <c r="G43" s="676">
        <f>industrie!F22</f>
        <v>6803.6507037553492</v>
      </c>
      <c r="H43" s="676">
        <f>industrie!G22</f>
        <v>0</v>
      </c>
      <c r="I43" s="676">
        <f>industrie!H22</f>
        <v>0</v>
      </c>
      <c r="J43" s="676">
        <f>industrie!I22</f>
        <v>0</v>
      </c>
      <c r="K43" s="676">
        <f>industrie!J22</f>
        <v>213.03211073316211</v>
      </c>
      <c r="L43" s="676">
        <f>industrie!K22</f>
        <v>0</v>
      </c>
      <c r="M43" s="676">
        <f>industrie!L22</f>
        <v>0</v>
      </c>
      <c r="N43" s="676">
        <f>industrie!M22</f>
        <v>0</v>
      </c>
      <c r="O43" s="676">
        <f>industrie!N22</f>
        <v>0</v>
      </c>
      <c r="P43" s="676">
        <f>industrie!O22</f>
        <v>0</v>
      </c>
      <c r="Q43" s="751">
        <f>industrie!P22</f>
        <v>0</v>
      </c>
      <c r="R43" s="831">
        <f t="shared" ca="1" si="4"/>
        <v>60194.795164578136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34324.643651996215</v>
      </c>
      <c r="D46" s="709">
        <f t="shared" ref="D46:Q46" ca="1" si="5">SUM(D39:D45)</f>
        <v>388.04369747899159</v>
      </c>
      <c r="E46" s="709">
        <f t="shared" ca="1" si="5"/>
        <v>30977.538625179615</v>
      </c>
      <c r="F46" s="709">
        <f t="shared" si="5"/>
        <v>590.73646651656372</v>
      </c>
      <c r="G46" s="709">
        <f t="shared" ca="1" si="5"/>
        <v>17693.160780458478</v>
      </c>
      <c r="H46" s="709">
        <f t="shared" si="5"/>
        <v>0</v>
      </c>
      <c r="I46" s="709">
        <f t="shared" si="5"/>
        <v>0</v>
      </c>
      <c r="J46" s="709">
        <f t="shared" si="5"/>
        <v>0</v>
      </c>
      <c r="K46" s="709">
        <f t="shared" si="5"/>
        <v>462.11292054116723</v>
      </c>
      <c r="L46" s="709">
        <f t="shared" si="5"/>
        <v>0</v>
      </c>
      <c r="M46" s="709">
        <f t="shared" ca="1" si="5"/>
        <v>0</v>
      </c>
      <c r="N46" s="709">
        <f t="shared" si="5"/>
        <v>0</v>
      </c>
      <c r="O46" s="709">
        <f t="shared" ca="1" si="5"/>
        <v>0</v>
      </c>
      <c r="P46" s="709">
        <f t="shared" si="5"/>
        <v>0</v>
      </c>
      <c r="Q46" s="709">
        <f t="shared" si="5"/>
        <v>0</v>
      </c>
      <c r="R46" s="709">
        <f ca="1">SUM(R39:R45)</f>
        <v>84436.236142171037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0.52445267012016172</v>
      </c>
      <c r="D49" s="676">
        <f ca="1">transport!C58</f>
        <v>0</v>
      </c>
      <c r="E49" s="676">
        <f>transport!D58</f>
        <v>0</v>
      </c>
      <c r="F49" s="676">
        <f>transport!E58</f>
        <v>0</v>
      </c>
      <c r="G49" s="676">
        <f>transport!F58</f>
        <v>0</v>
      </c>
      <c r="H49" s="676">
        <f>transport!G58</f>
        <v>131.1513499070945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131.67580257721465</v>
      </c>
    </row>
    <row r="50" spans="1:18">
      <c r="A50" s="807" t="s">
        <v>302</v>
      </c>
      <c r="B50" s="817"/>
      <c r="C50" s="986">
        <f ca="1">transport!B18</f>
        <v>2.1384948957642762</v>
      </c>
      <c r="D50" s="986">
        <f>transport!C18</f>
        <v>0</v>
      </c>
      <c r="E50" s="986">
        <f>transport!D18</f>
        <v>2.2006403047560128</v>
      </c>
      <c r="F50" s="986">
        <f>transport!E18</f>
        <v>184.04576568958018</v>
      </c>
      <c r="G50" s="986">
        <f>transport!F18</f>
        <v>0</v>
      </c>
      <c r="H50" s="986">
        <f>transport!G18</f>
        <v>65222.058418995919</v>
      </c>
      <c r="I50" s="986">
        <f>transport!H18</f>
        <v>6819.1957945768663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72229.639114462887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2.6629475658844379</v>
      </c>
      <c r="D52" s="709">
        <f t="shared" ref="D52:Q52" ca="1" si="6">SUM(D48:D51)</f>
        <v>0</v>
      </c>
      <c r="E52" s="709">
        <f t="shared" si="6"/>
        <v>2.2006403047560128</v>
      </c>
      <c r="F52" s="709">
        <f t="shared" si="6"/>
        <v>184.04576568958018</v>
      </c>
      <c r="G52" s="709">
        <f t="shared" si="6"/>
        <v>0</v>
      </c>
      <c r="H52" s="709">
        <f t="shared" si="6"/>
        <v>65353.209768903012</v>
      </c>
      <c r="I52" s="709">
        <f t="shared" si="6"/>
        <v>6819.1957945768663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72361.314917040101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562.02097929852573</v>
      </c>
      <c r="D54" s="986">
        <f ca="1">+landbouw!C12</f>
        <v>0</v>
      </c>
      <c r="E54" s="986">
        <f>+landbouw!D12</f>
        <v>157.14332923016556</v>
      </c>
      <c r="F54" s="986">
        <f>+landbouw!E12</f>
        <v>5.6438705720430749</v>
      </c>
      <c r="G54" s="986">
        <f>+landbouw!F12</f>
        <v>2299.5449344048093</v>
      </c>
      <c r="H54" s="986">
        <f>+landbouw!G12</f>
        <v>0</v>
      </c>
      <c r="I54" s="986">
        <f>+landbouw!H12</f>
        <v>0</v>
      </c>
      <c r="J54" s="986">
        <f>+landbouw!I12</f>
        <v>0</v>
      </c>
      <c r="K54" s="986">
        <f>+landbouw!J12</f>
        <v>115.57381113790954</v>
      </c>
      <c r="L54" s="986">
        <f>+landbouw!K12</f>
        <v>0</v>
      </c>
      <c r="M54" s="986">
        <f>+landbouw!L12</f>
        <v>0</v>
      </c>
      <c r="N54" s="986">
        <f>+landbouw!M12</f>
        <v>0</v>
      </c>
      <c r="O54" s="986">
        <f>+landbouw!N12</f>
        <v>0</v>
      </c>
      <c r="P54" s="986">
        <f>+landbouw!O12</f>
        <v>0</v>
      </c>
      <c r="Q54" s="987">
        <f>+landbouw!P12</f>
        <v>0</v>
      </c>
      <c r="R54" s="708">
        <f ca="1">SUM(C54:Q54)</f>
        <v>3139.9269246434533</v>
      </c>
    </row>
    <row r="55" spans="1:18" ht="15" thickBot="1">
      <c r="A55" s="807" t="s">
        <v>879</v>
      </c>
      <c r="B55" s="817"/>
      <c r="C55" s="986">
        <f ca="1">C25*'EF ele_warmte'!B12</f>
        <v>138.68405187435238</v>
      </c>
      <c r="D55" s="986"/>
      <c r="E55" s="986">
        <f>E25*EF_CO2_aardgas</f>
        <v>74.928852685335087</v>
      </c>
      <c r="F55" s="986"/>
      <c r="G55" s="986"/>
      <c r="H55" s="986"/>
      <c r="I55" s="986"/>
      <c r="J55" s="986"/>
      <c r="K55" s="986"/>
      <c r="L55" s="986"/>
      <c r="M55" s="986"/>
      <c r="N55" s="986"/>
      <c r="O55" s="986"/>
      <c r="P55" s="986"/>
      <c r="Q55" s="987"/>
      <c r="R55" s="708">
        <f ca="1">SUM(C55:Q55)</f>
        <v>213.61290455968748</v>
      </c>
    </row>
    <row r="56" spans="1:18" ht="15.75" thickBot="1">
      <c r="A56" s="805" t="s">
        <v>880</v>
      </c>
      <c r="B56" s="818"/>
      <c r="C56" s="709">
        <f ca="1">SUM(C54:C55)</f>
        <v>700.70503117287808</v>
      </c>
      <c r="D56" s="709">
        <f t="shared" ref="D56:Q56" ca="1" si="7">SUM(D54:D55)</f>
        <v>0</v>
      </c>
      <c r="E56" s="709">
        <f t="shared" si="7"/>
        <v>232.07218191550066</v>
      </c>
      <c r="F56" s="709">
        <f t="shared" si="7"/>
        <v>5.6438705720430749</v>
      </c>
      <c r="G56" s="709">
        <f t="shared" si="7"/>
        <v>2299.5449344048093</v>
      </c>
      <c r="H56" s="709">
        <f t="shared" si="7"/>
        <v>0</v>
      </c>
      <c r="I56" s="709">
        <f t="shared" si="7"/>
        <v>0</v>
      </c>
      <c r="J56" s="709">
        <f t="shared" si="7"/>
        <v>0</v>
      </c>
      <c r="K56" s="709">
        <f t="shared" si="7"/>
        <v>115.57381113790954</v>
      </c>
      <c r="L56" s="709">
        <f t="shared" si="7"/>
        <v>0</v>
      </c>
      <c r="M56" s="709">
        <f t="shared" si="7"/>
        <v>0</v>
      </c>
      <c r="N56" s="709">
        <f t="shared" si="7"/>
        <v>0</v>
      </c>
      <c r="O56" s="709">
        <f t="shared" si="7"/>
        <v>0</v>
      </c>
      <c r="P56" s="709">
        <f t="shared" si="7"/>
        <v>0</v>
      </c>
      <c r="Q56" s="710">
        <f t="shared" si="7"/>
        <v>0</v>
      </c>
      <c r="R56" s="711">
        <f ca="1">SUM(R54:R55)</f>
        <v>3353.5398292031409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35028.011630734982</v>
      </c>
      <c r="D61" s="717">
        <f t="shared" ref="D61:Q61" ca="1" si="8">D46+D52+D56</f>
        <v>388.04369747899159</v>
      </c>
      <c r="E61" s="717">
        <f t="shared" ca="1" si="8"/>
        <v>31211.811447399872</v>
      </c>
      <c r="F61" s="717">
        <f t="shared" si="8"/>
        <v>780.42610277818699</v>
      </c>
      <c r="G61" s="717">
        <f t="shared" ca="1" si="8"/>
        <v>19992.705714863288</v>
      </c>
      <c r="H61" s="717">
        <f t="shared" si="8"/>
        <v>65353.209768903012</v>
      </c>
      <c r="I61" s="717">
        <f t="shared" si="8"/>
        <v>6819.1957945768663</v>
      </c>
      <c r="J61" s="717">
        <f t="shared" si="8"/>
        <v>0</v>
      </c>
      <c r="K61" s="717">
        <f t="shared" si="8"/>
        <v>577.68673167907673</v>
      </c>
      <c r="L61" s="717">
        <f t="shared" si="8"/>
        <v>0</v>
      </c>
      <c r="M61" s="717">
        <f t="shared" ca="1" si="8"/>
        <v>0</v>
      </c>
      <c r="N61" s="717">
        <f t="shared" si="8"/>
        <v>0</v>
      </c>
      <c r="O61" s="717">
        <f t="shared" ca="1" si="8"/>
        <v>0</v>
      </c>
      <c r="P61" s="717">
        <f t="shared" si="8"/>
        <v>0</v>
      </c>
      <c r="Q61" s="717">
        <f t="shared" si="8"/>
        <v>0</v>
      </c>
      <c r="R61" s="717">
        <f ca="1">R46+R52+R56</f>
        <v>160151.09088841427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0.21295269019836863</v>
      </c>
      <c r="D63" s="761">
        <f t="shared" ca="1" si="9"/>
        <v>0.23764705882352941</v>
      </c>
      <c r="E63" s="988">
        <f t="shared" ca="1" si="9"/>
        <v>0.20200000000000004</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6075.600889466763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1143</v>
      </c>
      <c r="D76" s="998">
        <f>'lokale energieproductie'!C8</f>
        <v>1344.7058823529412</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271.63058823529417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6075.600889466763</v>
      </c>
      <c r="C78" s="732">
        <f>SUM(C72:C77)</f>
        <v>1143</v>
      </c>
      <c r="D78" s="733">
        <f t="shared" ref="D78:H78" si="10">SUM(D76:D77)</f>
        <v>1344.7058823529412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271.63058823529417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1632.8571428571429</v>
      </c>
      <c r="D87" s="754">
        <f>'lokale energieproductie'!C17</f>
        <v>1921.0084033613443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388.04369747899159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1632.8571428571429</v>
      </c>
      <c r="D90" s="732">
        <f t="shared" ref="D90:H90" si="12">SUM(D87:D89)</f>
        <v>1921.0084033613443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388.04369747899159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17439.851675354494</v>
      </c>
      <c r="C4" s="449">
        <f>huishoudens!C8</f>
        <v>0</v>
      </c>
      <c r="D4" s="449">
        <f>huishoudens!D8</f>
        <v>12167.012460711841</v>
      </c>
      <c r="E4" s="449">
        <f>huishoudens!E8</f>
        <v>1271.9566380491603</v>
      </c>
      <c r="F4" s="449">
        <f>huishoudens!F8</f>
        <v>38778.265027675458</v>
      </c>
      <c r="G4" s="449">
        <f>huishoudens!G8</f>
        <v>0</v>
      </c>
      <c r="H4" s="449">
        <f>huishoudens!H8</f>
        <v>0</v>
      </c>
      <c r="I4" s="449">
        <f>huishoudens!I8</f>
        <v>0</v>
      </c>
      <c r="J4" s="449">
        <f>huishoudens!J8</f>
        <v>703.61810680227427</v>
      </c>
      <c r="K4" s="449">
        <f>huishoudens!K8</f>
        <v>0</v>
      </c>
      <c r="L4" s="449">
        <f>huishoudens!L8</f>
        <v>0</v>
      </c>
      <c r="M4" s="449">
        <f>huishoudens!M8</f>
        <v>0</v>
      </c>
      <c r="N4" s="449">
        <f>huishoudens!N8</f>
        <v>5082.2097852726092</v>
      </c>
      <c r="O4" s="449">
        <f>huishoudens!O8</f>
        <v>54.716666666666669</v>
      </c>
      <c r="P4" s="450">
        <f>huishoudens!P8</f>
        <v>286</v>
      </c>
      <c r="Q4" s="451">
        <f>SUM(B4:P4)</f>
        <v>75783.630360532494</v>
      </c>
    </row>
    <row r="5" spans="1:17">
      <c r="A5" s="448" t="s">
        <v>155</v>
      </c>
      <c r="B5" s="449">
        <f ca="1">tertiair!B16</f>
        <v>10274.166922015102</v>
      </c>
      <c r="C5" s="449">
        <f ca="1">tertiair!C16</f>
        <v>0</v>
      </c>
      <c r="D5" s="449">
        <f ca="1">tertiair!D16</f>
        <v>21104.84324837137</v>
      </c>
      <c r="E5" s="449">
        <f>tertiair!E16</f>
        <v>113.47331029235231</v>
      </c>
      <c r="F5" s="449">
        <f ca="1">tertiair!F16</f>
        <v>2006.4169075422485</v>
      </c>
      <c r="G5" s="449">
        <f>tertiair!G16</f>
        <v>0</v>
      </c>
      <c r="H5" s="449">
        <f>tertiair!H16</f>
        <v>0</v>
      </c>
      <c r="I5" s="449">
        <f>tertiair!I16</f>
        <v>0</v>
      </c>
      <c r="J5" s="449">
        <f>tertiair!J16</f>
        <v>0</v>
      </c>
      <c r="K5" s="449">
        <f>tertiair!K16</f>
        <v>0</v>
      </c>
      <c r="L5" s="449">
        <f ca="1">tertiair!L16</f>
        <v>0</v>
      </c>
      <c r="M5" s="449">
        <f>tertiair!M16</f>
        <v>0</v>
      </c>
      <c r="N5" s="449">
        <f ca="1">tertiair!N16</f>
        <v>392.38165205135874</v>
      </c>
      <c r="O5" s="449">
        <f>tertiair!O16</f>
        <v>4.6900000000000004</v>
      </c>
      <c r="P5" s="450">
        <f>tertiair!P16</f>
        <v>38.133333333333333</v>
      </c>
      <c r="Q5" s="448">
        <f t="shared" ref="Q5:Q14" ca="1" si="0">SUM(B5:P5)</f>
        <v>33934.105373605766</v>
      </c>
    </row>
    <row r="6" spans="1:17">
      <c r="A6" s="448" t="s">
        <v>193</v>
      </c>
      <c r="B6" s="449">
        <f>'openbare verlichting'!B8</f>
        <v>777.95600000000002</v>
      </c>
      <c r="C6" s="449"/>
      <c r="D6" s="449"/>
      <c r="E6" s="449"/>
      <c r="F6" s="449"/>
      <c r="G6" s="449"/>
      <c r="H6" s="449"/>
      <c r="I6" s="449"/>
      <c r="J6" s="449"/>
      <c r="K6" s="449"/>
      <c r="L6" s="449"/>
      <c r="M6" s="449"/>
      <c r="N6" s="449"/>
      <c r="O6" s="449"/>
      <c r="P6" s="450"/>
      <c r="Q6" s="448">
        <f t="shared" si="0"/>
        <v>777.95600000000002</v>
      </c>
    </row>
    <row r="7" spans="1:17">
      <c r="A7" s="448" t="s">
        <v>111</v>
      </c>
      <c r="B7" s="449">
        <f>landbouw!B8</f>
        <v>2639.1823403357562</v>
      </c>
      <c r="C7" s="449">
        <f>landbouw!C8</f>
        <v>0</v>
      </c>
      <c r="D7" s="449">
        <f>landbouw!D8</f>
        <v>777.93727341666113</v>
      </c>
      <c r="E7" s="449">
        <f>landbouw!E8</f>
        <v>24.862865956136893</v>
      </c>
      <c r="F7" s="449">
        <f>landbouw!F8</f>
        <v>8612.5278442127692</v>
      </c>
      <c r="G7" s="449">
        <f>landbouw!G8</f>
        <v>0</v>
      </c>
      <c r="H7" s="449">
        <f>landbouw!H8</f>
        <v>0</v>
      </c>
      <c r="I7" s="449">
        <f>landbouw!I8</f>
        <v>0</v>
      </c>
      <c r="J7" s="449">
        <f>landbouw!J8</f>
        <v>326.47969247997048</v>
      </c>
      <c r="K7" s="449">
        <f>landbouw!K8</f>
        <v>0</v>
      </c>
      <c r="L7" s="449">
        <f>landbouw!L8</f>
        <v>0</v>
      </c>
      <c r="M7" s="449">
        <f>landbouw!M8</f>
        <v>0</v>
      </c>
      <c r="N7" s="449">
        <f>landbouw!N8</f>
        <v>0</v>
      </c>
      <c r="O7" s="449">
        <f>landbouw!O8</f>
        <v>0</v>
      </c>
      <c r="P7" s="450">
        <f>landbouw!P8</f>
        <v>0</v>
      </c>
      <c r="Q7" s="448">
        <f t="shared" si="0"/>
        <v>12380.990016401294</v>
      </c>
    </row>
    <row r="8" spans="1:17">
      <c r="A8" s="448" t="s">
        <v>671</v>
      </c>
      <c r="B8" s="449">
        <f>industrie!B18</f>
        <v>132692.38808911396</v>
      </c>
      <c r="C8" s="449">
        <f>industrie!C18</f>
        <v>1632.8571428571429</v>
      </c>
      <c r="D8" s="449">
        <f>industrie!D18</f>
        <v>120082.29590071685</v>
      </c>
      <c r="E8" s="449">
        <f>industrie!E18</f>
        <v>1216.9333402777111</v>
      </c>
      <c r="F8" s="449">
        <f>industrie!F18</f>
        <v>25481.837841780332</v>
      </c>
      <c r="G8" s="449">
        <f>industrie!G18</f>
        <v>0</v>
      </c>
      <c r="H8" s="449">
        <f>industrie!H18</f>
        <v>0</v>
      </c>
      <c r="I8" s="449">
        <f>industrie!I18</f>
        <v>0</v>
      </c>
      <c r="J8" s="449">
        <f>industrie!J18</f>
        <v>601.78562354000599</v>
      </c>
      <c r="K8" s="449">
        <f>industrie!K18</f>
        <v>0</v>
      </c>
      <c r="L8" s="449">
        <f>industrie!L18</f>
        <v>0</v>
      </c>
      <c r="M8" s="449">
        <f>industrie!M18</f>
        <v>0</v>
      </c>
      <c r="N8" s="449">
        <f>industrie!N18</f>
        <v>4270.9307507417116</v>
      </c>
      <c r="O8" s="449">
        <f>industrie!O18</f>
        <v>0</v>
      </c>
      <c r="P8" s="450">
        <f>industrie!P18</f>
        <v>0</v>
      </c>
      <c r="Q8" s="448">
        <f t="shared" si="0"/>
        <v>285979.02868902771</v>
      </c>
    </row>
    <row r="9" spans="1:17" s="454" customFormat="1">
      <c r="A9" s="452" t="s">
        <v>568</v>
      </c>
      <c r="B9" s="453">
        <f>transport!B14</f>
        <v>10.042112610891349</v>
      </c>
      <c r="C9" s="453">
        <f>transport!C14</f>
        <v>0</v>
      </c>
      <c r="D9" s="453">
        <f>transport!D14</f>
        <v>10.894258934435706</v>
      </c>
      <c r="E9" s="453">
        <f>transport!E14</f>
        <v>810.77429819198312</v>
      </c>
      <c r="F9" s="453">
        <f>transport!F14</f>
        <v>0</v>
      </c>
      <c r="G9" s="453">
        <f>transport!G14</f>
        <v>244277.37235578994</v>
      </c>
      <c r="H9" s="453">
        <f>transport!H14</f>
        <v>27386.328492276571</v>
      </c>
      <c r="I9" s="453">
        <f>transport!I14</f>
        <v>0</v>
      </c>
      <c r="J9" s="453">
        <f>transport!J14</f>
        <v>0</v>
      </c>
      <c r="K9" s="453">
        <f>transport!K14</f>
        <v>0</v>
      </c>
      <c r="L9" s="453">
        <f>transport!L14</f>
        <v>0</v>
      </c>
      <c r="M9" s="453">
        <f>transport!M14</f>
        <v>12123.712774724028</v>
      </c>
      <c r="N9" s="453">
        <f>transport!N14</f>
        <v>0</v>
      </c>
      <c r="O9" s="453">
        <f>transport!O14</f>
        <v>0</v>
      </c>
      <c r="P9" s="453">
        <f>transport!P14</f>
        <v>0</v>
      </c>
      <c r="Q9" s="452">
        <f>SUM(B9:P9)</f>
        <v>284619.12429252779</v>
      </c>
    </row>
    <row r="10" spans="1:17">
      <c r="A10" s="448" t="s">
        <v>558</v>
      </c>
      <c r="B10" s="449">
        <f>transport!B54</f>
        <v>2.4627661178246969</v>
      </c>
      <c r="C10" s="449">
        <f>transport!C54</f>
        <v>0</v>
      </c>
      <c r="D10" s="449">
        <f>transport!D54</f>
        <v>0</v>
      </c>
      <c r="E10" s="449">
        <f>transport!E54</f>
        <v>0</v>
      </c>
      <c r="F10" s="449">
        <f>transport!F54</f>
        <v>0</v>
      </c>
      <c r="G10" s="449">
        <f>transport!G54</f>
        <v>491.20355770447378</v>
      </c>
      <c r="H10" s="449">
        <f>transport!H54</f>
        <v>0</v>
      </c>
      <c r="I10" s="449">
        <f>transport!I54</f>
        <v>0</v>
      </c>
      <c r="J10" s="449">
        <f>transport!J54</f>
        <v>0</v>
      </c>
      <c r="K10" s="449">
        <f>transport!K54</f>
        <v>0</v>
      </c>
      <c r="L10" s="449">
        <f>transport!L54</f>
        <v>0</v>
      </c>
      <c r="M10" s="449">
        <f>transport!M54</f>
        <v>21.710674089381865</v>
      </c>
      <c r="N10" s="449">
        <f>transport!N54</f>
        <v>0</v>
      </c>
      <c r="O10" s="449">
        <f>transport!O54</f>
        <v>0</v>
      </c>
      <c r="P10" s="450">
        <f>transport!P54</f>
        <v>0</v>
      </c>
      <c r="Q10" s="448">
        <f t="shared" si="0"/>
        <v>515.37699791168029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651.24348391732508</v>
      </c>
      <c r="C14" s="456"/>
      <c r="D14" s="456">
        <f>'SEAP template'!E25</f>
        <v>370.93491428383703</v>
      </c>
      <c r="E14" s="456"/>
      <c r="F14" s="456"/>
      <c r="G14" s="456"/>
      <c r="H14" s="456"/>
      <c r="I14" s="456"/>
      <c r="J14" s="456"/>
      <c r="K14" s="456"/>
      <c r="L14" s="456"/>
      <c r="M14" s="456"/>
      <c r="N14" s="456"/>
      <c r="O14" s="456"/>
      <c r="P14" s="457"/>
      <c r="Q14" s="448">
        <f t="shared" si="0"/>
        <v>1022.1783982011621</v>
      </c>
    </row>
    <row r="15" spans="1:17" s="461" customFormat="1">
      <c r="A15" s="458" t="s">
        <v>562</v>
      </c>
      <c r="B15" s="459">
        <f ca="1">SUM(B4:B14)</f>
        <v>164487.29338946534</v>
      </c>
      <c r="C15" s="459">
        <f t="shared" ref="C15:Q15" ca="1" si="1">SUM(C4:C14)</f>
        <v>1632.8571428571429</v>
      </c>
      <c r="D15" s="459">
        <f t="shared" ca="1" si="1"/>
        <v>154513.91805643498</v>
      </c>
      <c r="E15" s="459">
        <f t="shared" si="1"/>
        <v>3438.0004527673441</v>
      </c>
      <c r="F15" s="459">
        <f t="shared" ca="1" si="1"/>
        <v>74879.047621210804</v>
      </c>
      <c r="G15" s="459">
        <f t="shared" si="1"/>
        <v>244768.57591349442</v>
      </c>
      <c r="H15" s="459">
        <f t="shared" si="1"/>
        <v>27386.328492276571</v>
      </c>
      <c r="I15" s="459">
        <f t="shared" si="1"/>
        <v>0</v>
      </c>
      <c r="J15" s="459">
        <f t="shared" si="1"/>
        <v>1631.8834228222509</v>
      </c>
      <c r="K15" s="459">
        <f t="shared" si="1"/>
        <v>0</v>
      </c>
      <c r="L15" s="459">
        <f t="shared" ca="1" si="1"/>
        <v>0</v>
      </c>
      <c r="M15" s="459">
        <f t="shared" si="1"/>
        <v>12145.42344881341</v>
      </c>
      <c r="N15" s="459">
        <f t="shared" ca="1" si="1"/>
        <v>9745.5221880656791</v>
      </c>
      <c r="O15" s="459">
        <f t="shared" si="1"/>
        <v>59.406666666666666</v>
      </c>
      <c r="P15" s="459">
        <f t="shared" si="1"/>
        <v>324.13333333333333</v>
      </c>
      <c r="Q15" s="459">
        <f t="shared" ca="1" si="1"/>
        <v>695012.39012820786</v>
      </c>
    </row>
    <row r="17" spans="1:17">
      <c r="A17" s="462" t="s">
        <v>563</v>
      </c>
      <c r="B17" s="766">
        <f ca="1">huishoudens!B10</f>
        <v>0.21295269019836863</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3713.8633309272655</v>
      </c>
      <c r="C22" s="449">
        <f t="shared" ref="C22:C32" ca="1" si="3">C4*$C$17</f>
        <v>0</v>
      </c>
      <c r="D22" s="449">
        <f t="shared" ref="D22:D32" si="4">D4*$D$17</f>
        <v>2457.7365170637922</v>
      </c>
      <c r="E22" s="449">
        <f t="shared" ref="E22:E32" si="5">E4*$E$17</f>
        <v>288.73415683715939</v>
      </c>
      <c r="F22" s="449">
        <f t="shared" ref="F22:F32" si="6">F4*$F$17</f>
        <v>10353.796762389347</v>
      </c>
      <c r="G22" s="449">
        <f t="shared" ref="G22:G32" si="7">G4*$G$17</f>
        <v>0</v>
      </c>
      <c r="H22" s="449">
        <f t="shared" ref="H22:H32" si="8">H4*$H$17</f>
        <v>0</v>
      </c>
      <c r="I22" s="449">
        <f t="shared" ref="I22:I32" si="9">I4*$I$17</f>
        <v>0</v>
      </c>
      <c r="J22" s="449">
        <f t="shared" ref="J22:J32" si="10">J4*$J$17</f>
        <v>249.08080980800509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17063.21157702557</v>
      </c>
    </row>
    <row r="23" spans="1:17">
      <c r="A23" s="448" t="s">
        <v>155</v>
      </c>
      <c r="B23" s="449">
        <f t="shared" ca="1" si="2"/>
        <v>2187.9114855902085</v>
      </c>
      <c r="C23" s="449">
        <f t="shared" ca="1" si="3"/>
        <v>0</v>
      </c>
      <c r="D23" s="449">
        <f t="shared" ca="1" si="4"/>
        <v>4263.1783361710168</v>
      </c>
      <c r="E23" s="449">
        <f t="shared" si="5"/>
        <v>25.758441436363974</v>
      </c>
      <c r="F23" s="449">
        <f t="shared" ca="1" si="6"/>
        <v>535.71331431378042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7012.5615775113693</v>
      </c>
    </row>
    <row r="24" spans="1:17">
      <c r="A24" s="448" t="s">
        <v>193</v>
      </c>
      <c r="B24" s="449">
        <f t="shared" ca="1" si="2"/>
        <v>165.66782305596206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165.66782305596206</v>
      </c>
    </row>
    <row r="25" spans="1:17">
      <c r="A25" s="448" t="s">
        <v>111</v>
      </c>
      <c r="B25" s="449">
        <f t="shared" ca="1" si="2"/>
        <v>562.02097929852573</v>
      </c>
      <c r="C25" s="449">
        <f t="shared" ca="1" si="3"/>
        <v>0</v>
      </c>
      <c r="D25" s="449">
        <f t="shared" si="4"/>
        <v>157.14332923016556</v>
      </c>
      <c r="E25" s="449">
        <f t="shared" si="5"/>
        <v>5.6438705720430749</v>
      </c>
      <c r="F25" s="449">
        <f t="shared" si="6"/>
        <v>2299.5449344048093</v>
      </c>
      <c r="G25" s="449">
        <f t="shared" si="7"/>
        <v>0</v>
      </c>
      <c r="H25" s="449">
        <f t="shared" si="8"/>
        <v>0</v>
      </c>
      <c r="I25" s="449">
        <f t="shared" si="9"/>
        <v>0</v>
      </c>
      <c r="J25" s="449">
        <f t="shared" si="10"/>
        <v>115.57381113790954</v>
      </c>
      <c r="K25" s="449">
        <f t="shared" si="11"/>
        <v>0</v>
      </c>
      <c r="L25" s="449">
        <f t="shared" si="12"/>
        <v>0</v>
      </c>
      <c r="M25" s="449">
        <f t="shared" si="13"/>
        <v>0</v>
      </c>
      <c r="N25" s="449">
        <f t="shared" si="14"/>
        <v>0</v>
      </c>
      <c r="O25" s="449">
        <f t="shared" si="15"/>
        <v>0</v>
      </c>
      <c r="P25" s="450">
        <f t="shared" si="16"/>
        <v>0</v>
      </c>
      <c r="Q25" s="448">
        <f t="shared" ca="1" si="17"/>
        <v>3139.9269246434533</v>
      </c>
    </row>
    <row r="26" spans="1:17">
      <c r="A26" s="448" t="s">
        <v>671</v>
      </c>
      <c r="B26" s="449">
        <f t="shared" ca="1" si="2"/>
        <v>28257.201012422782</v>
      </c>
      <c r="C26" s="449">
        <f t="shared" ca="1" si="3"/>
        <v>388.04369747899159</v>
      </c>
      <c r="D26" s="449">
        <f t="shared" si="4"/>
        <v>24256.623771944807</v>
      </c>
      <c r="E26" s="449">
        <f t="shared" si="5"/>
        <v>276.24386824304042</v>
      </c>
      <c r="F26" s="449">
        <f t="shared" si="6"/>
        <v>6803.6507037553492</v>
      </c>
      <c r="G26" s="449">
        <f t="shared" si="7"/>
        <v>0</v>
      </c>
      <c r="H26" s="449">
        <f t="shared" si="8"/>
        <v>0</v>
      </c>
      <c r="I26" s="449">
        <f t="shared" si="9"/>
        <v>0</v>
      </c>
      <c r="J26" s="449">
        <f t="shared" si="10"/>
        <v>213.03211073316211</v>
      </c>
      <c r="K26" s="449">
        <f t="shared" si="11"/>
        <v>0</v>
      </c>
      <c r="L26" s="449">
        <f t="shared" si="12"/>
        <v>0</v>
      </c>
      <c r="M26" s="449">
        <f t="shared" si="13"/>
        <v>0</v>
      </c>
      <c r="N26" s="449">
        <f t="shared" si="14"/>
        <v>0</v>
      </c>
      <c r="O26" s="449">
        <f t="shared" si="15"/>
        <v>0</v>
      </c>
      <c r="P26" s="450">
        <f t="shared" si="16"/>
        <v>0</v>
      </c>
      <c r="Q26" s="448">
        <f t="shared" ca="1" si="17"/>
        <v>60194.795164578136</v>
      </c>
    </row>
    <row r="27" spans="1:17" s="454" customFormat="1">
      <c r="A27" s="452" t="s">
        <v>568</v>
      </c>
      <c r="B27" s="760">
        <f t="shared" ca="1" si="2"/>
        <v>2.1384948957642762</v>
      </c>
      <c r="C27" s="453">
        <f t="shared" ca="1" si="3"/>
        <v>0</v>
      </c>
      <c r="D27" s="453">
        <f t="shared" si="4"/>
        <v>2.2006403047560128</v>
      </c>
      <c r="E27" s="453">
        <f t="shared" si="5"/>
        <v>184.04576568958018</v>
      </c>
      <c r="F27" s="453">
        <f t="shared" si="6"/>
        <v>0</v>
      </c>
      <c r="G27" s="453">
        <f t="shared" si="7"/>
        <v>65222.058418995919</v>
      </c>
      <c r="H27" s="453">
        <f t="shared" si="8"/>
        <v>6819.1957945768663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72229.639114462887</v>
      </c>
    </row>
    <row r="28" spans="1:17">
      <c r="A28" s="448" t="s">
        <v>558</v>
      </c>
      <c r="B28" s="449">
        <f t="shared" ca="1" si="2"/>
        <v>0.52445267012016172</v>
      </c>
      <c r="C28" s="449">
        <f t="shared" ca="1" si="3"/>
        <v>0</v>
      </c>
      <c r="D28" s="449">
        <f t="shared" si="4"/>
        <v>0</v>
      </c>
      <c r="E28" s="449">
        <f t="shared" si="5"/>
        <v>0</v>
      </c>
      <c r="F28" s="449">
        <f t="shared" si="6"/>
        <v>0</v>
      </c>
      <c r="G28" s="449">
        <f t="shared" si="7"/>
        <v>131.1513499070945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131.67580257721465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138.68405187435238</v>
      </c>
      <c r="C32" s="449">
        <f t="shared" ca="1" si="3"/>
        <v>0</v>
      </c>
      <c r="D32" s="449">
        <f t="shared" si="4"/>
        <v>74.928852685335087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213.61290455968748</v>
      </c>
    </row>
    <row r="33" spans="1:17" s="461" customFormat="1">
      <c r="A33" s="458" t="s">
        <v>562</v>
      </c>
      <c r="B33" s="459">
        <f ca="1">SUM(B22:B32)</f>
        <v>35028.011630734982</v>
      </c>
      <c r="C33" s="459">
        <f t="shared" ref="C33:Q33" ca="1" si="18">SUM(C22:C32)</f>
        <v>388.04369747899159</v>
      </c>
      <c r="D33" s="459">
        <f t="shared" ca="1" si="18"/>
        <v>31211.811447399872</v>
      </c>
      <c r="E33" s="459">
        <f t="shared" si="18"/>
        <v>780.4261027781871</v>
      </c>
      <c r="F33" s="459">
        <f t="shared" ca="1" si="18"/>
        <v>19992.705714863285</v>
      </c>
      <c r="G33" s="459">
        <f t="shared" si="18"/>
        <v>65353.209768903012</v>
      </c>
      <c r="H33" s="459">
        <f t="shared" si="18"/>
        <v>6819.1957945768663</v>
      </c>
      <c r="I33" s="459">
        <f t="shared" si="18"/>
        <v>0</v>
      </c>
      <c r="J33" s="459">
        <f t="shared" si="18"/>
        <v>577.68673167907673</v>
      </c>
      <c r="K33" s="459">
        <f t="shared" si="18"/>
        <v>0</v>
      </c>
      <c r="L33" s="459">
        <f t="shared" ca="1" si="18"/>
        <v>0</v>
      </c>
      <c r="M33" s="459">
        <f t="shared" si="18"/>
        <v>0</v>
      </c>
      <c r="N33" s="459">
        <f t="shared" ca="1" si="18"/>
        <v>0</v>
      </c>
      <c r="O33" s="459">
        <f t="shared" si="18"/>
        <v>0</v>
      </c>
      <c r="P33" s="459">
        <f t="shared" si="18"/>
        <v>0</v>
      </c>
      <c r="Q33" s="459">
        <f t="shared" ca="1" si="18"/>
        <v>160151.09088841427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6075.600889466763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1143</v>
      </c>
      <c r="D8" s="1015">
        <f>'SEAP template'!D76</f>
        <v>1344.7058823529412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271.63058823529417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6075.600889466763</v>
      </c>
      <c r="C10" s="1019">
        <f>SUM(C4:C9)</f>
        <v>1143</v>
      </c>
      <c r="D10" s="1019">
        <f t="shared" ref="D10:H10" si="0">SUM(D8:D9)</f>
        <v>1344.7058823529412</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271.63058823529417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0.21295269019836863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1632.8571428571429</v>
      </c>
      <c r="D17" s="1016">
        <f>'SEAP template'!D87</f>
        <v>1921.0084033613443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388.04369747899159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1632.8571428571429</v>
      </c>
      <c r="D20" s="1019">
        <f t="shared" ref="D20:H20" si="2">SUM(D17:D19)</f>
        <v>1921.0084033613443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388.04369747899159</v>
      </c>
    </row>
    <row r="22" spans="1:16">
      <c r="A22" s="462" t="s">
        <v>899</v>
      </c>
      <c r="B22" s="766" t="s">
        <v>893</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0.21295269019836863</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0.21295269019836863</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0.21295269019836863</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3055</v>
      </c>
      <c r="C14" s="327"/>
      <c r="D14" s="327"/>
      <c r="E14" s="327"/>
      <c r="F14" s="327"/>
    </row>
    <row r="15" spans="1:6">
      <c r="A15" s="1295" t="s">
        <v>183</v>
      </c>
      <c r="B15" s="1296">
        <v>30</v>
      </c>
      <c r="C15" s="327"/>
      <c r="D15" s="327"/>
      <c r="E15" s="327"/>
      <c r="F15" s="327"/>
    </row>
    <row r="16" spans="1:6">
      <c r="A16" s="1295" t="s">
        <v>6</v>
      </c>
      <c r="B16" s="1296">
        <v>789</v>
      </c>
      <c r="C16" s="327"/>
      <c r="D16" s="327"/>
      <c r="E16" s="327"/>
      <c r="F16" s="327"/>
    </row>
    <row r="17" spans="1:6">
      <c r="A17" s="1295" t="s">
        <v>7</v>
      </c>
      <c r="B17" s="1296">
        <v>1139</v>
      </c>
      <c r="C17" s="327"/>
      <c r="D17" s="327"/>
      <c r="E17" s="327"/>
      <c r="F17" s="327"/>
    </row>
    <row r="18" spans="1:6">
      <c r="A18" s="1295" t="s">
        <v>8</v>
      </c>
      <c r="B18" s="1296">
        <v>1256</v>
      </c>
      <c r="C18" s="327"/>
      <c r="D18" s="327"/>
      <c r="E18" s="327"/>
      <c r="F18" s="327"/>
    </row>
    <row r="19" spans="1:6">
      <c r="A19" s="1295" t="s">
        <v>9</v>
      </c>
      <c r="B19" s="1296">
        <v>1213</v>
      </c>
      <c r="C19" s="327"/>
      <c r="D19" s="327"/>
      <c r="E19" s="327"/>
      <c r="F19" s="327"/>
    </row>
    <row r="20" spans="1:6">
      <c r="A20" s="1295" t="s">
        <v>10</v>
      </c>
      <c r="B20" s="1296">
        <v>917</v>
      </c>
      <c r="C20" s="327"/>
      <c r="D20" s="327"/>
      <c r="E20" s="327"/>
      <c r="F20" s="327"/>
    </row>
    <row r="21" spans="1:6">
      <c r="A21" s="1295" t="s">
        <v>11</v>
      </c>
      <c r="B21" s="1296">
        <v>4224</v>
      </c>
      <c r="C21" s="327"/>
      <c r="D21" s="327"/>
      <c r="E21" s="327"/>
      <c r="F21" s="327"/>
    </row>
    <row r="22" spans="1:6">
      <c r="A22" s="1295" t="s">
        <v>12</v>
      </c>
      <c r="B22" s="1296">
        <v>9464</v>
      </c>
      <c r="C22" s="327"/>
      <c r="D22" s="327"/>
      <c r="E22" s="327"/>
      <c r="F22" s="327"/>
    </row>
    <row r="23" spans="1:6">
      <c r="A23" s="1295" t="s">
        <v>13</v>
      </c>
      <c r="B23" s="1296">
        <v>300</v>
      </c>
      <c r="C23" s="327"/>
      <c r="D23" s="327"/>
      <c r="E23" s="327"/>
      <c r="F23" s="327"/>
    </row>
    <row r="24" spans="1:6">
      <c r="A24" s="1295" t="s">
        <v>14</v>
      </c>
      <c r="B24" s="1296">
        <v>15</v>
      </c>
      <c r="C24" s="327"/>
      <c r="D24" s="327"/>
      <c r="E24" s="327"/>
      <c r="F24" s="327"/>
    </row>
    <row r="25" spans="1:6">
      <c r="A25" s="1295" t="s">
        <v>15</v>
      </c>
      <c r="B25" s="1296">
        <v>1992</v>
      </c>
      <c r="C25" s="327"/>
      <c r="D25" s="327"/>
      <c r="E25" s="327"/>
      <c r="F25" s="327"/>
    </row>
    <row r="26" spans="1:6">
      <c r="A26" s="1295" t="s">
        <v>16</v>
      </c>
      <c r="B26" s="1296">
        <v>110</v>
      </c>
      <c r="C26" s="327"/>
      <c r="D26" s="327"/>
      <c r="E26" s="327"/>
      <c r="F26" s="327"/>
    </row>
    <row r="27" spans="1:6">
      <c r="A27" s="1295" t="s">
        <v>17</v>
      </c>
      <c r="B27" s="1296">
        <v>11</v>
      </c>
      <c r="C27" s="327"/>
      <c r="D27" s="327"/>
      <c r="E27" s="327"/>
      <c r="F27" s="327"/>
    </row>
    <row r="28" spans="1:6" s="44" customFormat="1">
      <c r="A28" s="1297" t="s">
        <v>18</v>
      </c>
      <c r="B28" s="1298">
        <v>129699</v>
      </c>
      <c r="C28" s="333"/>
      <c r="D28" s="333"/>
      <c r="E28" s="333"/>
      <c r="F28" s="333"/>
    </row>
    <row r="29" spans="1:6">
      <c r="A29" s="1297" t="s">
        <v>961</v>
      </c>
      <c r="B29" s="1298">
        <v>137</v>
      </c>
      <c r="C29" s="333"/>
      <c r="D29" s="333"/>
      <c r="E29" s="333"/>
      <c r="F29" s="333"/>
    </row>
    <row r="30" spans="1:6">
      <c r="A30" s="1290" t="s">
        <v>962</v>
      </c>
      <c r="B30" s="1299">
        <v>34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631.46894434520004</v>
      </c>
    </row>
    <row r="39" spans="1:6">
      <c r="A39" s="1295" t="s">
        <v>29</v>
      </c>
      <c r="B39" s="1295" t="s">
        <v>30</v>
      </c>
      <c r="C39" s="1296">
        <v>770</v>
      </c>
      <c r="D39" s="1296">
        <v>13488927.340035301</v>
      </c>
      <c r="E39" s="1296">
        <v>2952</v>
      </c>
      <c r="F39" s="1296">
        <v>16059293.6692634</v>
      </c>
    </row>
    <row r="40" spans="1:6">
      <c r="A40" s="1295" t="s">
        <v>29</v>
      </c>
      <c r="B40" s="1295" t="s">
        <v>28</v>
      </c>
      <c r="C40" s="1296">
        <v>0</v>
      </c>
      <c r="D40" s="1296">
        <v>0</v>
      </c>
      <c r="E40" s="1296">
        <v>0</v>
      </c>
      <c r="F40" s="1296">
        <v>0</v>
      </c>
    </row>
    <row r="41" spans="1:6">
      <c r="A41" s="1295" t="s">
        <v>31</v>
      </c>
      <c r="B41" s="1295" t="s">
        <v>32</v>
      </c>
      <c r="C41" s="1296">
        <v>8</v>
      </c>
      <c r="D41" s="1296">
        <v>146967.04719226301</v>
      </c>
      <c r="E41" s="1296">
        <v>87</v>
      </c>
      <c r="F41" s="1296">
        <v>1054485.07303387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19</v>
      </c>
      <c r="F44" s="1296">
        <v>709474.82591739704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1139695.1100246899</v>
      </c>
    </row>
    <row r="48" spans="1:6">
      <c r="A48" s="1295" t="s">
        <v>31</v>
      </c>
      <c r="B48" s="1295" t="s">
        <v>28</v>
      </c>
      <c r="C48" s="1296">
        <v>32</v>
      </c>
      <c r="D48" s="1296">
        <v>136565612.20906401</v>
      </c>
      <c r="E48" s="1296">
        <v>43</v>
      </c>
      <c r="F48" s="1296">
        <v>117326276.908628</v>
      </c>
    </row>
    <row r="49" spans="1:6">
      <c r="A49" s="1295" t="s">
        <v>31</v>
      </c>
      <c r="B49" s="1295" t="s">
        <v>39</v>
      </c>
      <c r="C49" s="1296">
        <v>0</v>
      </c>
      <c r="D49" s="1296">
        <v>0</v>
      </c>
      <c r="E49" s="1296">
        <v>0</v>
      </c>
      <c r="F49" s="1296">
        <v>0</v>
      </c>
    </row>
    <row r="50" spans="1:6">
      <c r="A50" s="1295" t="s">
        <v>31</v>
      </c>
      <c r="B50" s="1295" t="s">
        <v>40</v>
      </c>
      <c r="C50" s="1296">
        <v>3</v>
      </c>
      <c r="D50" s="1296">
        <v>36877.713179574399</v>
      </c>
      <c r="E50" s="1296">
        <v>13</v>
      </c>
      <c r="F50" s="1296">
        <v>11319456.17151</v>
      </c>
    </row>
    <row r="51" spans="1:6">
      <c r="A51" s="1295" t="s">
        <v>41</v>
      </c>
      <c r="B51" s="1295" t="s">
        <v>42</v>
      </c>
      <c r="C51" s="1296">
        <v>0</v>
      </c>
      <c r="D51" s="1296">
        <v>0</v>
      </c>
      <c r="E51" s="1296">
        <v>126</v>
      </c>
      <c r="F51" s="1296">
        <v>2436404.4420883702</v>
      </c>
    </row>
    <row r="52" spans="1:6">
      <c r="A52" s="1295" t="s">
        <v>41</v>
      </c>
      <c r="B52" s="1295" t="s">
        <v>28</v>
      </c>
      <c r="C52" s="1296">
        <v>7</v>
      </c>
      <c r="D52" s="1296">
        <v>862458.17451957997</v>
      </c>
      <c r="E52" s="1296">
        <v>7</v>
      </c>
      <c r="F52" s="1296">
        <v>202777.89824738601</v>
      </c>
    </row>
    <row r="53" spans="1:6">
      <c r="A53" s="1295" t="s">
        <v>43</v>
      </c>
      <c r="B53" s="1295" t="s">
        <v>44</v>
      </c>
      <c r="C53" s="1296">
        <v>14</v>
      </c>
      <c r="D53" s="1296">
        <v>370934.91428383702</v>
      </c>
      <c r="E53" s="1296">
        <v>77</v>
      </c>
      <c r="F53" s="1296">
        <v>651243.48391732504</v>
      </c>
    </row>
    <row r="54" spans="1:6">
      <c r="A54" s="1295" t="s">
        <v>45</v>
      </c>
      <c r="B54" s="1295" t="s">
        <v>46</v>
      </c>
      <c r="C54" s="1296">
        <v>0</v>
      </c>
      <c r="D54" s="1296">
        <v>0</v>
      </c>
      <c r="E54" s="1296">
        <v>2</v>
      </c>
      <c r="F54" s="1296">
        <v>777956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v>
      </c>
      <c r="D57" s="1296">
        <v>475410.30962347199</v>
      </c>
      <c r="E57" s="1296">
        <v>20</v>
      </c>
      <c r="F57" s="1296">
        <v>229042.482892906</v>
      </c>
    </row>
    <row r="58" spans="1:6">
      <c r="A58" s="1295" t="s">
        <v>48</v>
      </c>
      <c r="B58" s="1295" t="s">
        <v>50</v>
      </c>
      <c r="C58" s="1296">
        <v>0</v>
      </c>
      <c r="D58" s="1296">
        <v>0</v>
      </c>
      <c r="E58" s="1296">
        <v>16</v>
      </c>
      <c r="F58" s="1296">
        <v>120682.72517161501</v>
      </c>
    </row>
    <row r="59" spans="1:6">
      <c r="A59" s="1295" t="s">
        <v>48</v>
      </c>
      <c r="B59" s="1295" t="s">
        <v>51</v>
      </c>
      <c r="C59" s="1296">
        <v>10</v>
      </c>
      <c r="D59" s="1296">
        <v>668078.26358699903</v>
      </c>
      <c r="E59" s="1296">
        <v>108</v>
      </c>
      <c r="F59" s="1296">
        <v>3559206.7660099398</v>
      </c>
    </row>
    <row r="60" spans="1:6">
      <c r="A60" s="1295" t="s">
        <v>48</v>
      </c>
      <c r="B60" s="1295" t="s">
        <v>52</v>
      </c>
      <c r="C60" s="1296">
        <v>14</v>
      </c>
      <c r="D60" s="1296">
        <v>373210.50338717899</v>
      </c>
      <c r="E60" s="1296">
        <v>35</v>
      </c>
      <c r="F60" s="1296">
        <v>1118620.77282729</v>
      </c>
    </row>
    <row r="61" spans="1:6">
      <c r="A61" s="1295" t="s">
        <v>48</v>
      </c>
      <c r="B61" s="1295" t="s">
        <v>53</v>
      </c>
      <c r="C61" s="1296">
        <v>27</v>
      </c>
      <c r="D61" s="1296">
        <v>1838485.25179787</v>
      </c>
      <c r="E61" s="1296">
        <v>123</v>
      </c>
      <c r="F61" s="1296">
        <v>1581295.7835826101</v>
      </c>
    </row>
    <row r="62" spans="1:6">
      <c r="A62" s="1295" t="s">
        <v>48</v>
      </c>
      <c r="B62" s="1295" t="s">
        <v>54</v>
      </c>
      <c r="C62" s="1296">
        <v>0</v>
      </c>
      <c r="D62" s="1296">
        <v>0</v>
      </c>
      <c r="E62" s="1296">
        <v>0</v>
      </c>
      <c r="F62" s="1296">
        <v>0</v>
      </c>
    </row>
    <row r="63" spans="1:6">
      <c r="A63" s="1295" t="s">
        <v>48</v>
      </c>
      <c r="B63" s="1295" t="s">
        <v>28</v>
      </c>
      <c r="C63" s="1296">
        <v>72</v>
      </c>
      <c r="D63" s="1296">
        <v>20042646.323900901</v>
      </c>
      <c r="E63" s="1296">
        <v>159</v>
      </c>
      <c r="F63" s="1296">
        <v>3665318.3915307401</v>
      </c>
    </row>
    <row r="64" spans="1:6">
      <c r="A64" s="1295" t="s">
        <v>55</v>
      </c>
      <c r="B64" s="1295" t="s">
        <v>56</v>
      </c>
      <c r="C64" s="1296">
        <v>0</v>
      </c>
      <c r="D64" s="1296">
        <v>0</v>
      </c>
      <c r="E64" s="1296">
        <v>0</v>
      </c>
      <c r="F64" s="1296">
        <v>0</v>
      </c>
    </row>
    <row r="65" spans="1:6">
      <c r="A65" s="1295" t="s">
        <v>55</v>
      </c>
      <c r="B65" s="1295" t="s">
        <v>28</v>
      </c>
      <c r="C65" s="1296">
        <v>1</v>
      </c>
      <c r="D65" s="1296">
        <v>36665.294300197798</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192754.02938795599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54660408</v>
      </c>
      <c r="E73" s="447"/>
      <c r="F73" s="327"/>
    </row>
    <row r="74" spans="1:6">
      <c r="A74" s="1295" t="s">
        <v>63</v>
      </c>
      <c r="B74" s="1295" t="s">
        <v>755</v>
      </c>
      <c r="C74" s="1309" t="s">
        <v>749</v>
      </c>
      <c r="D74" s="1310">
        <v>4551038.4039601041</v>
      </c>
      <c r="E74" s="447"/>
      <c r="F74" s="327"/>
    </row>
    <row r="75" spans="1:6">
      <c r="A75" s="1295" t="s">
        <v>64</v>
      </c>
      <c r="B75" s="1295" t="s">
        <v>754</v>
      </c>
      <c r="C75" s="1309" t="s">
        <v>750</v>
      </c>
      <c r="D75" s="1310">
        <v>14848792</v>
      </c>
      <c r="E75" s="447"/>
      <c r="F75" s="327"/>
    </row>
    <row r="76" spans="1:6">
      <c r="A76" s="1295" t="s">
        <v>64</v>
      </c>
      <c r="B76" s="1295" t="s">
        <v>755</v>
      </c>
      <c r="C76" s="1309" t="s">
        <v>751</v>
      </c>
      <c r="D76" s="1310">
        <v>362731.40396010439</v>
      </c>
      <c r="E76" s="447"/>
      <c r="F76" s="327"/>
    </row>
    <row r="77" spans="1:6">
      <c r="A77" s="1295" t="s">
        <v>65</v>
      </c>
      <c r="B77" s="1295" t="s">
        <v>754</v>
      </c>
      <c r="C77" s="1309" t="s">
        <v>752</v>
      </c>
      <c r="D77" s="1310">
        <v>161979501</v>
      </c>
      <c r="E77" s="447"/>
      <c r="F77" s="327"/>
    </row>
    <row r="78" spans="1:6">
      <c r="A78" s="1290" t="s">
        <v>65</v>
      </c>
      <c r="B78" s="1290" t="s">
        <v>755</v>
      </c>
      <c r="C78" s="1290" t="s">
        <v>753</v>
      </c>
      <c r="D78" s="1311">
        <v>44003860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135681.19207979125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1380.5580060910931</v>
      </c>
      <c r="C91" s="327"/>
      <c r="D91" s="327"/>
      <c r="E91" s="327"/>
      <c r="F91" s="327"/>
    </row>
    <row r="92" spans="1:6">
      <c r="A92" s="1290" t="s">
        <v>68</v>
      </c>
      <c r="B92" s="1291">
        <v>4695.0428833756696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259</v>
      </c>
      <c r="C97" s="327"/>
      <c r="D97" s="327"/>
      <c r="E97" s="327"/>
      <c r="F97" s="327"/>
    </row>
    <row r="98" spans="1:6">
      <c r="A98" s="1295" t="s">
        <v>71</v>
      </c>
      <c r="B98" s="1296">
        <v>0</v>
      </c>
      <c r="C98" s="327"/>
      <c r="D98" s="327"/>
      <c r="E98" s="327"/>
      <c r="F98" s="327"/>
    </row>
    <row r="99" spans="1:6">
      <c r="A99" s="1295" t="s">
        <v>72</v>
      </c>
      <c r="B99" s="1296">
        <v>91</v>
      </c>
      <c r="C99" s="327"/>
      <c r="D99" s="327"/>
      <c r="E99" s="327"/>
      <c r="F99" s="327"/>
    </row>
    <row r="100" spans="1:6">
      <c r="A100" s="1295" t="s">
        <v>73</v>
      </c>
      <c r="B100" s="1296">
        <v>319</v>
      </c>
      <c r="C100" s="327"/>
      <c r="D100" s="327"/>
      <c r="E100" s="327"/>
      <c r="F100" s="327"/>
    </row>
    <row r="101" spans="1:6">
      <c r="A101" s="1295" t="s">
        <v>74</v>
      </c>
      <c r="B101" s="1296">
        <v>92</v>
      </c>
      <c r="C101" s="327"/>
      <c r="D101" s="327"/>
      <c r="E101" s="327"/>
      <c r="F101" s="327"/>
    </row>
    <row r="102" spans="1:6">
      <c r="A102" s="1295" t="s">
        <v>75</v>
      </c>
      <c r="B102" s="1296">
        <v>51</v>
      </c>
      <c r="C102" s="327"/>
      <c r="D102" s="327"/>
      <c r="E102" s="327"/>
      <c r="F102" s="327"/>
    </row>
    <row r="103" spans="1:6">
      <c r="A103" s="1295" t="s">
        <v>76</v>
      </c>
      <c r="B103" s="1296">
        <v>133</v>
      </c>
      <c r="C103" s="327"/>
      <c r="D103" s="327"/>
      <c r="E103" s="327"/>
      <c r="F103" s="327"/>
    </row>
    <row r="104" spans="1:6">
      <c r="A104" s="1295" t="s">
        <v>77</v>
      </c>
      <c r="B104" s="1296">
        <v>1944</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30</v>
      </c>
      <c r="C129" s="327"/>
      <c r="D129" s="327"/>
      <c r="E129" s="327"/>
      <c r="F129" s="327"/>
    </row>
    <row r="130" spans="1:6">
      <c r="A130" s="1295" t="s">
        <v>290</v>
      </c>
      <c r="B130" s="1296">
        <v>3</v>
      </c>
      <c r="C130" s="327"/>
      <c r="D130" s="327"/>
      <c r="E130" s="327"/>
      <c r="F130" s="327"/>
    </row>
    <row r="131" spans="1:6">
      <c r="A131" s="1295" t="s">
        <v>291</v>
      </c>
      <c r="B131" s="1296">
        <v>2</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164487.29338946534</v>
      </c>
      <c r="C3" s="44" t="s">
        <v>169</v>
      </c>
      <c r="D3" s="44"/>
      <c r="E3" s="157"/>
      <c r="F3" s="44"/>
      <c r="G3" s="44"/>
      <c r="H3" s="44"/>
      <c r="I3" s="44"/>
      <c r="J3" s="44"/>
      <c r="K3" s="97"/>
    </row>
    <row r="4" spans="1:11">
      <c r="A4" s="354" t="s">
        <v>170</v>
      </c>
      <c r="B4" s="50">
        <f>IF(ISERROR('SEAP template'!B78+'SEAP template'!C78),0,'SEAP template'!B78+'SEAP template'!C78)</f>
        <v>7218.600889466763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271.63058823529417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0.21295269019836863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388.04369747899159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1632.8571428571429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777.95600000000002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777.95600000000002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0.21295269019836863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165.66782305596206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16059.293669263399</v>
      </c>
      <c r="C5" s="18">
        <f>IF(ISERROR('Eigen informatie GS &amp; warmtenet'!B57),0,'Eigen informatie GS &amp; warmtenet'!B57)</f>
        <v>0</v>
      </c>
      <c r="D5" s="31">
        <f>(SUM(HH_hh_gas_kWh,HH_rest_gas_kWh)/1000)*0.902</f>
        <v>12167.012460711841</v>
      </c>
      <c r="E5" s="18">
        <f>B32*B41</f>
        <v>1271.9566380491603</v>
      </c>
      <c r="F5" s="18">
        <f>B36*B45</f>
        <v>38778.265027675458</v>
      </c>
      <c r="G5" s="19"/>
      <c r="H5" s="18"/>
      <c r="I5" s="18"/>
      <c r="J5" s="18">
        <f>B35*B44+C35*C44</f>
        <v>703.61810680227427</v>
      </c>
      <c r="K5" s="18"/>
      <c r="L5" s="18"/>
      <c r="M5" s="18"/>
      <c r="N5" s="18">
        <f>B34*B43+C34*C43</f>
        <v>5082.2097852726092</v>
      </c>
      <c r="O5" s="18">
        <f>B52*B53*B54</f>
        <v>54.716666666666669</v>
      </c>
      <c r="P5" s="18">
        <f>B60*B61*B62/1000-B60*B61*B62/1000/B63</f>
        <v>286</v>
      </c>
    </row>
    <row r="6" spans="1:16">
      <c r="A6" s="17" t="s">
        <v>628</v>
      </c>
      <c r="B6" s="768">
        <f>kWh_PV_kleiner_dan_10kW</f>
        <v>1380.5580060910931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17439.851675354494</v>
      </c>
      <c r="C8" s="22">
        <f>C5</f>
        <v>0</v>
      </c>
      <c r="D8" s="22">
        <f>D5</f>
        <v>12167.012460711841</v>
      </c>
      <c r="E8" s="22">
        <f>E5</f>
        <v>1271.9566380491603</v>
      </c>
      <c r="F8" s="22">
        <f>F5</f>
        <v>38778.265027675458</v>
      </c>
      <c r="G8" s="22"/>
      <c r="H8" s="22"/>
      <c r="I8" s="22"/>
      <c r="J8" s="22">
        <f>J5</f>
        <v>703.61810680227427</v>
      </c>
      <c r="K8" s="22"/>
      <c r="L8" s="22">
        <f>L5</f>
        <v>0</v>
      </c>
      <c r="M8" s="22">
        <f>M5</f>
        <v>0</v>
      </c>
      <c r="N8" s="22">
        <f>N5</f>
        <v>5082.2097852726092</v>
      </c>
      <c r="O8" s="22">
        <f>O5</f>
        <v>54.716666666666669</v>
      </c>
      <c r="P8" s="22">
        <f>P5</f>
        <v>286</v>
      </c>
    </row>
    <row r="9" spans="1:16">
      <c r="B9" s="20"/>
      <c r="C9" s="20"/>
      <c r="D9" s="258"/>
      <c r="E9" s="20"/>
      <c r="F9" s="20"/>
      <c r="G9" s="20"/>
      <c r="H9" s="20"/>
      <c r="I9" s="20"/>
      <c r="J9" s="20"/>
      <c r="K9" s="20"/>
      <c r="L9" s="20"/>
      <c r="M9" s="20"/>
      <c r="N9" s="20"/>
      <c r="O9" s="20"/>
      <c r="P9" s="20"/>
    </row>
    <row r="10" spans="1:16">
      <c r="A10" s="25" t="s">
        <v>213</v>
      </c>
      <c r="B10" s="26">
        <f ca="1">'EF ele_warmte'!B12</f>
        <v>0.21295269019836863</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3713.8633309272655</v>
      </c>
      <c r="C12" s="24">
        <f ca="1">C10*C8</f>
        <v>0</v>
      </c>
      <c r="D12" s="24">
        <f>D8*D10</f>
        <v>2457.7365170637922</v>
      </c>
      <c r="E12" s="24">
        <f>E10*E8</f>
        <v>288.73415683715939</v>
      </c>
      <c r="F12" s="24">
        <f>F10*F8</f>
        <v>10353.796762389347</v>
      </c>
      <c r="G12" s="24"/>
      <c r="H12" s="24"/>
      <c r="I12" s="24"/>
      <c r="J12" s="24">
        <f>J10*J8</f>
        <v>249.08080980800509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3192</v>
      </c>
      <c r="C26" s="37"/>
      <c r="D26" s="228"/>
    </row>
    <row r="27" spans="1:5" s="16" customFormat="1">
      <c r="A27" s="230" t="s">
        <v>654</v>
      </c>
      <c r="B27" s="38">
        <f>SUM(HH_hh_gas_aantal,HH_rest_gas_aantal)</f>
        <v>770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731.5</v>
      </c>
      <c r="C31" s="35" t="s">
        <v>110</v>
      </c>
      <c r="D31" s="174"/>
    </row>
    <row r="32" spans="1:5">
      <c r="A32" s="171" t="s">
        <v>72</v>
      </c>
      <c r="B32" s="34">
        <f>IF((B21*($B$26-($B$27-0.05*$B$27)-$B$60))&lt;0,0,B21*($B$26-($B$27-0.05*$B$27)-$B$60))</f>
        <v>60.09897090494578</v>
      </c>
      <c r="C32" s="35" t="s">
        <v>110</v>
      </c>
      <c r="D32" s="174"/>
    </row>
    <row r="33" spans="1:6">
      <c r="A33" s="171" t="s">
        <v>73</v>
      </c>
      <c r="B33" s="34">
        <f>IF((B22*($B$26-($B$27-0.05*$B$27)-$B$60))&lt;0,0,B22*($B$26-($B$27-0.05*$B$27)-$B$60))</f>
        <v>404.53656063764282</v>
      </c>
      <c r="C33" s="35" t="s">
        <v>110</v>
      </c>
      <c r="D33" s="174"/>
    </row>
    <row r="34" spans="1:6">
      <c r="A34" s="171" t="s">
        <v>74</v>
      </c>
      <c r="B34" s="34">
        <f>IF((B24*($B$26-($B$27-0.05*$B$27)-$B$60))&lt;0,0,B24*($B$26-($B$27-0.05*$B$27)-$B$60))</f>
        <v>102.59899863578252</v>
      </c>
      <c r="C34" s="34">
        <f>B26*C24</f>
        <v>652.77142991967867</v>
      </c>
      <c r="D34" s="233"/>
    </row>
    <row r="35" spans="1:6">
      <c r="A35" s="171" t="s">
        <v>76</v>
      </c>
      <c r="B35" s="34">
        <f>IF((B19*($B$26-($B$27-0.05*$B$27)-$B$60))&lt;0,0,B19*($B$26-($B$27-0.05*$B$27)-$B$60))</f>
        <v>38.143060855206848</v>
      </c>
      <c r="C35" s="34">
        <f>B35/2</f>
        <v>19.071530427603424</v>
      </c>
      <c r="D35" s="233"/>
    </row>
    <row r="36" spans="1:6">
      <c r="A36" s="171" t="s">
        <v>77</v>
      </c>
      <c r="B36" s="34">
        <f>IF((B18*($B$26-($B$27-0.05*$B$27)-$B$60))&lt;0,0,B18*($B$26-($B$27-0.05*$B$27)-$B$60))</f>
        <v>1840.1224089664213</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10274.166922015102</v>
      </c>
      <c r="C5" s="18">
        <f>IF(ISERROR('Eigen informatie GS &amp; warmtenet'!B58),0,'Eigen informatie GS &amp; warmtenet'!B58)</f>
        <v>0</v>
      </c>
      <c r="D5" s="31">
        <f>SUM(D6:D12)</f>
        <v>21104.84324837137</v>
      </c>
      <c r="E5" s="18">
        <f>SUM(E6:E12)</f>
        <v>113.47331029235231</v>
      </c>
      <c r="F5" s="18">
        <f>SUM(F6:F12)</f>
        <v>2006.4169075422485</v>
      </c>
      <c r="G5" s="19"/>
      <c r="H5" s="18"/>
      <c r="I5" s="18"/>
      <c r="J5" s="18">
        <f>SUM(J6:J12)</f>
        <v>0</v>
      </c>
      <c r="K5" s="18"/>
      <c r="L5" s="18"/>
      <c r="M5" s="18"/>
      <c r="N5" s="18">
        <f>SUM(N6:N12)</f>
        <v>392.38165205135874</v>
      </c>
      <c r="O5" s="18">
        <f>B38*B39*B40</f>
        <v>4.6900000000000004</v>
      </c>
      <c r="P5" s="18">
        <f>B46*B47*B48/1000-B46*B47*B48/1000/B49</f>
        <v>38.133333333333333</v>
      </c>
      <c r="R5" s="33"/>
    </row>
    <row r="6" spans="1:18">
      <c r="A6" s="33" t="s">
        <v>53</v>
      </c>
      <c r="B6" s="38">
        <f>B26</f>
        <v>1581.2957835826101</v>
      </c>
      <c r="C6" s="34"/>
      <c r="D6" s="38">
        <f>IF(ISERROR(TER_kantoor_gas_kWh/1000),0,TER_kantoor_gas_kWh/1000)*0.902</f>
        <v>1658.3136971216788</v>
      </c>
      <c r="E6" s="34">
        <f>$C$26*'E Balans VL '!I12/100/3.6*1000000</f>
        <v>2.5952268713244884</v>
      </c>
      <c r="F6" s="34">
        <f>$C$26*('E Balans VL '!L12+'E Balans VL '!N12)/100/3.6*1000000</f>
        <v>186.39756701504982</v>
      </c>
      <c r="G6" s="35"/>
      <c r="H6" s="34"/>
      <c r="I6" s="34"/>
      <c r="J6" s="34">
        <f>$C$26*('E Balans VL '!D12+'E Balans VL '!E12)/100/3.6*1000000</f>
        <v>0</v>
      </c>
      <c r="K6" s="34"/>
      <c r="L6" s="34"/>
      <c r="M6" s="34"/>
      <c r="N6" s="34">
        <f>$C$26*'E Balans VL '!Y12/100/3.6*1000000</f>
        <v>0.31949332502430405</v>
      </c>
      <c r="O6" s="34"/>
      <c r="P6" s="34"/>
      <c r="R6" s="33"/>
    </row>
    <row r="7" spans="1:18">
      <c r="A7" s="33" t="s">
        <v>52</v>
      </c>
      <c r="B7" s="38">
        <f t="shared" ref="B7:B12" si="0">B27</f>
        <v>1118.62077282729</v>
      </c>
      <c r="C7" s="34"/>
      <c r="D7" s="38">
        <f>IF(ISERROR(TER_horeca_gas_kWh/1000),0,TER_horeca_gas_kWh/1000)*0.902</f>
        <v>336.63587405523549</v>
      </c>
      <c r="E7" s="34">
        <f>$C$27*'E Balans VL '!I9/100/3.6*1000000</f>
        <v>58.04832359660805</v>
      </c>
      <c r="F7" s="34">
        <f>$C$27*('E Balans VL '!L9+'E Balans VL '!N9)/100/3.6*1000000</f>
        <v>255.27007203444319</v>
      </c>
      <c r="G7" s="35"/>
      <c r="H7" s="34"/>
      <c r="I7" s="34"/>
      <c r="J7" s="34">
        <f>$C$27*('E Balans VL '!D9+'E Balans VL '!E9)/100/3.6*1000000</f>
        <v>0</v>
      </c>
      <c r="K7" s="34"/>
      <c r="L7" s="34"/>
      <c r="M7" s="34"/>
      <c r="N7" s="34">
        <f>$C$27*'E Balans VL '!Y9/100/3.6*1000000</f>
        <v>0.11812584098022796</v>
      </c>
      <c r="O7" s="34"/>
      <c r="P7" s="34"/>
      <c r="R7" s="33"/>
    </row>
    <row r="8" spans="1:18">
      <c r="A8" s="6" t="s">
        <v>51</v>
      </c>
      <c r="B8" s="38">
        <f t="shared" si="0"/>
        <v>3559.2067660099397</v>
      </c>
      <c r="C8" s="34"/>
      <c r="D8" s="38">
        <f>IF(ISERROR(TER_handel_gas_kWh/1000),0,TER_handel_gas_kWh/1000)*0.902</f>
        <v>602.60659375547311</v>
      </c>
      <c r="E8" s="34">
        <f>$C$28*'E Balans VL '!I13/100/3.6*1000000</f>
        <v>19.166765803344113</v>
      </c>
      <c r="F8" s="34">
        <f>$C$28*('E Balans VL '!L13+'E Balans VL '!N13)/100/3.6*1000000</f>
        <v>725.82802968814235</v>
      </c>
      <c r="G8" s="35"/>
      <c r="H8" s="34"/>
      <c r="I8" s="34"/>
      <c r="J8" s="34">
        <f>$C$28*('E Balans VL '!D13+'E Balans VL '!E13)/100/3.6*1000000</f>
        <v>0</v>
      </c>
      <c r="K8" s="34"/>
      <c r="L8" s="34"/>
      <c r="M8" s="34"/>
      <c r="N8" s="34">
        <f>$C$28*'E Balans VL '!Y13/100/3.6*1000000</f>
        <v>17.698055684124885</v>
      </c>
      <c r="O8" s="34"/>
      <c r="P8" s="34"/>
      <c r="R8" s="33"/>
    </row>
    <row r="9" spans="1:18">
      <c r="A9" s="33" t="s">
        <v>50</v>
      </c>
      <c r="B9" s="38">
        <f t="shared" si="0"/>
        <v>120.682725171615</v>
      </c>
      <c r="C9" s="34"/>
      <c r="D9" s="38">
        <f>IF(ISERROR(TER_gezond_gas_kWh/1000),0,TER_gezond_gas_kWh/1000)*0.902</f>
        <v>0</v>
      </c>
      <c r="E9" s="34">
        <f>$C$29*'E Balans VL '!I10/100/3.6*1000000</f>
        <v>0.1195979530433413</v>
      </c>
      <c r="F9" s="34">
        <f>$C$29*('E Balans VL '!L10+'E Balans VL '!N10)/100/3.6*1000000</f>
        <v>41.87342708844951</v>
      </c>
      <c r="G9" s="35"/>
      <c r="H9" s="34"/>
      <c r="I9" s="34"/>
      <c r="J9" s="34">
        <f>$C$29*('E Balans VL '!D10+'E Balans VL '!E10)/100/3.6*1000000</f>
        <v>0</v>
      </c>
      <c r="K9" s="34"/>
      <c r="L9" s="34"/>
      <c r="M9" s="34"/>
      <c r="N9" s="34">
        <f>$C$29*'E Balans VL '!Y10/100/3.6*1000000</f>
        <v>1.0399125881094478</v>
      </c>
      <c r="O9" s="34"/>
      <c r="P9" s="34"/>
      <c r="R9" s="33"/>
    </row>
    <row r="10" spans="1:18">
      <c r="A10" s="33" t="s">
        <v>49</v>
      </c>
      <c r="B10" s="38">
        <f t="shared" si="0"/>
        <v>229.04248289290601</v>
      </c>
      <c r="C10" s="34"/>
      <c r="D10" s="38">
        <f>IF(ISERROR(TER_ander_gas_kWh/1000),0,TER_ander_gas_kWh/1000)*0.902</f>
        <v>428.82009928037172</v>
      </c>
      <c r="E10" s="34">
        <f>$C$30*'E Balans VL '!I14/100/3.6*1000000</f>
        <v>1.8737964217230287</v>
      </c>
      <c r="F10" s="34">
        <f>$C$30*('E Balans VL '!L14+'E Balans VL '!N14)/100/3.6*1000000</f>
        <v>66.962697292210478</v>
      </c>
      <c r="G10" s="35"/>
      <c r="H10" s="34"/>
      <c r="I10" s="34"/>
      <c r="J10" s="34">
        <f>$C$30*('E Balans VL '!D14+'E Balans VL '!E14)/100/3.6*1000000</f>
        <v>0</v>
      </c>
      <c r="K10" s="34"/>
      <c r="L10" s="34"/>
      <c r="M10" s="34"/>
      <c r="N10" s="34">
        <f>$C$30*'E Balans VL '!Y14/100/3.6*1000000</f>
        <v>132.12745971614748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3665.31839153074</v>
      </c>
      <c r="C12" s="34"/>
      <c r="D12" s="38">
        <f>IF(ISERROR(TER_rest_gas_kWh/1000),0,TER_rest_gas_kWh/1000)*0.902</f>
        <v>18078.466984158611</v>
      </c>
      <c r="E12" s="34">
        <f>$C$32*'E Balans VL '!I8/100/3.6*1000000</f>
        <v>31.669599646309276</v>
      </c>
      <c r="F12" s="34">
        <f>$C$32*('E Balans VL '!L8+'E Balans VL '!N8)/100/3.6*1000000</f>
        <v>730.0851144239532</v>
      </c>
      <c r="G12" s="35"/>
      <c r="H12" s="34"/>
      <c r="I12" s="34"/>
      <c r="J12" s="34">
        <f>$C$32*('E Balans VL '!D8+'E Balans VL '!E8)/100/3.6*1000000</f>
        <v>0</v>
      </c>
      <c r="K12" s="34"/>
      <c r="L12" s="34"/>
      <c r="M12" s="34"/>
      <c r="N12" s="34">
        <f>$C$32*'E Balans VL '!Y8/100/3.6*1000000</f>
        <v>241.07860489697237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10274.166922015102</v>
      </c>
      <c r="C16" s="22">
        <f t="shared" ca="1" si="1"/>
        <v>0</v>
      </c>
      <c r="D16" s="22">
        <f t="shared" ca="1" si="1"/>
        <v>21104.84324837137</v>
      </c>
      <c r="E16" s="22">
        <f t="shared" si="1"/>
        <v>113.47331029235231</v>
      </c>
      <c r="F16" s="22">
        <f t="shared" ca="1" si="1"/>
        <v>2006.4169075422485</v>
      </c>
      <c r="G16" s="22">
        <f t="shared" si="1"/>
        <v>0</v>
      </c>
      <c r="H16" s="22">
        <f t="shared" si="1"/>
        <v>0</v>
      </c>
      <c r="I16" s="22">
        <f t="shared" si="1"/>
        <v>0</v>
      </c>
      <c r="J16" s="22">
        <f t="shared" si="1"/>
        <v>0</v>
      </c>
      <c r="K16" s="22">
        <f t="shared" si="1"/>
        <v>0</v>
      </c>
      <c r="L16" s="22">
        <f t="shared" ca="1" si="1"/>
        <v>0</v>
      </c>
      <c r="M16" s="22">
        <f t="shared" si="1"/>
        <v>0</v>
      </c>
      <c r="N16" s="22">
        <f t="shared" ca="1" si="1"/>
        <v>392.38165205135874</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0.21295269019836863</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2187.9114855902085</v>
      </c>
      <c r="C20" s="24">
        <f t="shared" ref="C20:P20" ca="1" si="2">C16*C18</f>
        <v>0</v>
      </c>
      <c r="D20" s="24">
        <f t="shared" ca="1" si="2"/>
        <v>4263.1783361710168</v>
      </c>
      <c r="E20" s="24">
        <f t="shared" si="2"/>
        <v>25.758441436363974</v>
      </c>
      <c r="F20" s="24">
        <f t="shared" ca="1" si="2"/>
        <v>535.71331431378042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1581.2957835826101</v>
      </c>
      <c r="C26" s="40">
        <f>IF(ISERROR(B26*3.6/1000000/'E Balans VL '!Z12*100),0,B26*3.6/1000000/'E Balans VL '!Z12*100)</f>
        <v>3.3601401404834787E-2</v>
      </c>
      <c r="D26" s="236" t="s">
        <v>691</v>
      </c>
      <c r="F26" s="6"/>
    </row>
    <row r="27" spans="1:18">
      <c r="A27" s="231" t="s">
        <v>52</v>
      </c>
      <c r="B27" s="34">
        <f>IF(ISERROR(TER_horeca_ele_kWh/1000),0,TER_horeca_ele_kWh/1000)</f>
        <v>1118.62077282729</v>
      </c>
      <c r="C27" s="40">
        <f>IF(ISERROR(B27*3.6/1000000/'E Balans VL '!Z9*100),0,B27*3.6/1000000/'E Balans VL '!Z9*100)</f>
        <v>8.8044105078430787E-2</v>
      </c>
      <c r="D27" s="236" t="s">
        <v>691</v>
      </c>
      <c r="F27" s="6"/>
    </row>
    <row r="28" spans="1:18">
      <c r="A28" s="171" t="s">
        <v>51</v>
      </c>
      <c r="B28" s="34">
        <f>IF(ISERROR(TER_handel_ele_kWh/1000),0,TER_handel_ele_kWh/1000)</f>
        <v>3559.2067660099397</v>
      </c>
      <c r="C28" s="40">
        <f>IF(ISERROR(B28*3.6/1000000/'E Balans VL '!Z13*100),0,B28*3.6/1000000/'E Balans VL '!Z13*100)</f>
        <v>9.9695286328198171E-2</v>
      </c>
      <c r="D28" s="236" t="s">
        <v>691</v>
      </c>
      <c r="F28" s="6"/>
    </row>
    <row r="29" spans="1:18">
      <c r="A29" s="231" t="s">
        <v>50</v>
      </c>
      <c r="B29" s="34">
        <f>IF(ISERROR(TER_gezond_ele_kWh/1000),0,TER_gezond_ele_kWh/1000)</f>
        <v>120.682725171615</v>
      </c>
      <c r="C29" s="40">
        <f>IF(ISERROR(B29*3.6/1000000/'E Balans VL '!Z10*100),0,B29*3.6/1000000/'E Balans VL '!Z10*100)</f>
        <v>1.5438969848085465E-2</v>
      </c>
      <c r="D29" s="236" t="s">
        <v>691</v>
      </c>
      <c r="F29" s="6"/>
    </row>
    <row r="30" spans="1:18">
      <c r="A30" s="231" t="s">
        <v>49</v>
      </c>
      <c r="B30" s="34">
        <f>IF(ISERROR(TER_ander_ele_kWh/1000),0,TER_ander_ele_kWh/1000)</f>
        <v>229.04248289290601</v>
      </c>
      <c r="C30" s="40">
        <f>IF(ISERROR(B30*3.6/1000000/'E Balans VL '!Z14*100),0,B30*3.6/1000000/'E Balans VL '!Z14*100)</f>
        <v>1.7130447774714484E-2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3665.31839153074</v>
      </c>
      <c r="C32" s="40">
        <f>IF(ISERROR(B32*3.6/1000000/'E Balans VL '!Z8*100),0,B32*3.6/1000000/'E Balans VL '!Z8*100)</f>
        <v>3.019464390763682E-2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131549.38808911396</v>
      </c>
      <c r="C5" s="18">
        <f>IF(ISERROR('Eigen informatie GS &amp; warmtenet'!B59),0,'Eigen informatie GS &amp; warmtenet'!B59)</f>
        <v>0</v>
      </c>
      <c r="D5" s="31">
        <f>SUM(D6:D15)</f>
        <v>123348.01018643114</v>
      </c>
      <c r="E5" s="18">
        <f>SUM(E6:E15)</f>
        <v>1216.9333402777111</v>
      </c>
      <c r="F5" s="18">
        <f>SUM(F6:F15)</f>
        <v>25481.837841780332</v>
      </c>
      <c r="G5" s="19"/>
      <c r="H5" s="18"/>
      <c r="I5" s="18"/>
      <c r="J5" s="18">
        <f>SUM(J6:J15)</f>
        <v>601.78562354000599</v>
      </c>
      <c r="K5" s="18"/>
      <c r="L5" s="18"/>
      <c r="M5" s="18"/>
      <c r="N5" s="18">
        <f>SUM(N6:N15)</f>
        <v>4270.9307507417116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709.47482591739708</v>
      </c>
      <c r="C8" s="34"/>
      <c r="D8" s="38">
        <f>IF( ISERROR(IND_metaal_Gas_kWH/1000),0,IND_metaal_Gas_kWH/1000)*0.902</f>
        <v>0</v>
      </c>
      <c r="E8" s="34">
        <f>C30*'E Balans VL '!I18/100/3.6*1000000</f>
        <v>6.4610593835009444</v>
      </c>
      <c r="F8" s="34">
        <f>C30*'E Balans VL '!L18/100/3.6*1000000+C30*'E Balans VL '!N18/100/3.6*1000000</f>
        <v>93.574341694137516</v>
      </c>
      <c r="G8" s="35"/>
      <c r="H8" s="34"/>
      <c r="I8" s="34"/>
      <c r="J8" s="41">
        <f>C30*'E Balans VL '!D18/100/3.6*1000000+C30*'E Balans VL '!E18/100/3.6*1000000</f>
        <v>11.634357024691605</v>
      </c>
      <c r="K8" s="34"/>
      <c r="L8" s="34"/>
      <c r="M8" s="34"/>
      <c r="N8" s="34">
        <f>C30*'E Balans VL '!Y18/100/3.6*1000000</f>
        <v>2.4381831385264672</v>
      </c>
      <c r="O8" s="34"/>
      <c r="P8" s="34"/>
      <c r="R8" s="33"/>
    </row>
    <row r="9" spans="1:18">
      <c r="A9" s="6" t="s">
        <v>32</v>
      </c>
      <c r="B9" s="38">
        <f t="shared" si="0"/>
        <v>1054.4850730338699</v>
      </c>
      <c r="C9" s="34"/>
      <c r="D9" s="38">
        <f>IF( ISERROR(IND_andere_gas_kWh/1000),0,IND_andere_gas_kWh/1000)*0.902</f>
        <v>132.56427656742125</v>
      </c>
      <c r="E9" s="34">
        <f>C31*'E Balans VL '!I19/100/3.6*1000000</f>
        <v>6.0950813018960428</v>
      </c>
      <c r="F9" s="34">
        <f>C31*'E Balans VL '!L19/100/3.6*1000000+C31*'E Balans VL '!N19/100/3.6*1000000</f>
        <v>838.89361541230971</v>
      </c>
      <c r="G9" s="35"/>
      <c r="H9" s="34"/>
      <c r="I9" s="34"/>
      <c r="J9" s="41">
        <f>C31*'E Balans VL '!D19/100/3.6*1000000+C31*'E Balans VL '!E19/100/3.6*1000000</f>
        <v>9.9742575020566313E-2</v>
      </c>
      <c r="K9" s="34"/>
      <c r="L9" s="34"/>
      <c r="M9" s="34"/>
      <c r="N9" s="34">
        <f>C31*'E Balans VL '!Y19/100/3.6*1000000</f>
        <v>79.893202128916926</v>
      </c>
      <c r="O9" s="34"/>
      <c r="P9" s="34"/>
      <c r="R9" s="33"/>
    </row>
    <row r="10" spans="1:18">
      <c r="A10" s="6" t="s">
        <v>40</v>
      </c>
      <c r="B10" s="38">
        <f t="shared" si="0"/>
        <v>11319.456171509999</v>
      </c>
      <c r="C10" s="34"/>
      <c r="D10" s="38">
        <f>IF( ISERROR(IND_voed_gas_kWh/1000),0,IND_voed_gas_kWh/1000)*0.902</f>
        <v>33.263697287976107</v>
      </c>
      <c r="E10" s="34">
        <f>C32*'E Balans VL '!I20/100/3.6*1000000</f>
        <v>111.29986757608818</v>
      </c>
      <c r="F10" s="34">
        <f>C32*'E Balans VL '!L20/100/3.6*1000000+C32*'E Balans VL '!N20/100/3.6*1000000</f>
        <v>1257.1733566822982</v>
      </c>
      <c r="G10" s="35"/>
      <c r="H10" s="34"/>
      <c r="I10" s="34"/>
      <c r="J10" s="41">
        <f>C32*'E Balans VL '!D20/100/3.6*1000000+C32*'E Balans VL '!E20/100/3.6*1000000</f>
        <v>4.4615115495813921E-2</v>
      </c>
      <c r="K10" s="34"/>
      <c r="L10" s="34"/>
      <c r="M10" s="34"/>
      <c r="N10" s="34">
        <f>C32*'E Balans VL '!Y20/100/3.6*1000000</f>
        <v>167.61451973254387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1139.6951100246899</v>
      </c>
      <c r="C13" s="34"/>
      <c r="D13" s="38">
        <f>IF( ISERROR(IND_papier_gas_kWh/1000),0,IND_papier_gas_kWh/1000)*0.902</f>
        <v>0</v>
      </c>
      <c r="E13" s="34">
        <f>C35*'E Balans VL '!I23/100/3.6*1000000</f>
        <v>38.819667898515362</v>
      </c>
      <c r="F13" s="34">
        <f>C35*'E Balans VL '!L23/100/3.6*1000000+C35*'E Balans VL '!N23/100/3.6*1000000</f>
        <v>188.25088410761384</v>
      </c>
      <c r="G13" s="35"/>
      <c r="H13" s="34"/>
      <c r="I13" s="34"/>
      <c r="J13" s="41">
        <f>C35*'E Balans VL '!D23/100/3.6*1000000+C35*'E Balans VL '!E23/100/3.6*1000000</f>
        <v>0</v>
      </c>
      <c r="K13" s="34"/>
      <c r="L13" s="34"/>
      <c r="M13" s="34"/>
      <c r="N13" s="34">
        <f>C35*'E Balans VL '!Y23/100/3.6*1000000</f>
        <v>419.37723623557753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117326.276908628</v>
      </c>
      <c r="C15" s="34"/>
      <c r="D15" s="38">
        <f>IF( ISERROR(IND_rest_gas_kWh/1000),0,IND_rest_gas_kWh/1000)*0.902</f>
        <v>123182.18221257575</v>
      </c>
      <c r="E15" s="34">
        <f>C37*'E Balans VL '!I15/100/3.6*1000000</f>
        <v>1054.2576641177106</v>
      </c>
      <c r="F15" s="34">
        <f>C37*'E Balans VL '!L15/100/3.6*1000000+C37*'E Balans VL '!N15/100/3.6*1000000</f>
        <v>23103.945643883973</v>
      </c>
      <c r="G15" s="35"/>
      <c r="H15" s="34"/>
      <c r="I15" s="34"/>
      <c r="J15" s="41">
        <f>C37*'E Balans VL '!D15/100/3.6*1000000+C37*'E Balans VL '!E15/100/3.6*1000000</f>
        <v>590.00690882479796</v>
      </c>
      <c r="K15" s="34"/>
      <c r="L15" s="34"/>
      <c r="M15" s="34"/>
      <c r="N15" s="34">
        <f>C37*'E Balans VL '!Y15/100/3.6*1000000</f>
        <v>3601.6076095061467</v>
      </c>
      <c r="O15" s="34"/>
      <c r="P15" s="34"/>
      <c r="R15" s="33"/>
    </row>
    <row r="16" spans="1:18">
      <c r="A16" s="17" t="s">
        <v>495</v>
      </c>
      <c r="B16" s="246">
        <f>'lokale energieproductie'!N37+'lokale energieproductie'!N30</f>
        <v>1143</v>
      </c>
      <c r="C16" s="246">
        <f>'lokale energieproductie'!O37+'lokale energieproductie'!O30</f>
        <v>1632.8571428571429</v>
      </c>
      <c r="D16" s="305">
        <f>('lokale energieproductie'!P30+'lokale energieproductie'!P37)*(-1)</f>
        <v>-3265.7142857142858</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132692.38808911396</v>
      </c>
      <c r="C18" s="22">
        <f>C5+C16</f>
        <v>1632.8571428571429</v>
      </c>
      <c r="D18" s="22">
        <f>MAX((D5+D16),0)</f>
        <v>120082.29590071685</v>
      </c>
      <c r="E18" s="22">
        <f>MAX((E5+E16),0)</f>
        <v>1216.9333402777111</v>
      </c>
      <c r="F18" s="22">
        <f>MAX((F5+F16),0)</f>
        <v>25481.837841780332</v>
      </c>
      <c r="G18" s="22"/>
      <c r="H18" s="22"/>
      <c r="I18" s="22"/>
      <c r="J18" s="22">
        <f>MAX((J5+J16),0)</f>
        <v>601.78562354000599</v>
      </c>
      <c r="K18" s="22"/>
      <c r="L18" s="22">
        <f>MAX((L5+L16),0)</f>
        <v>0</v>
      </c>
      <c r="M18" s="22"/>
      <c r="N18" s="22">
        <f>MAX((N5+N16),0)</f>
        <v>4270.9307507417116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0.21295269019836863</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28257.201012422782</v>
      </c>
      <c r="C22" s="24">
        <f ca="1">C18*C20</f>
        <v>388.04369747899159</v>
      </c>
      <c r="D22" s="24">
        <f>D18*D20</f>
        <v>24256.623771944807</v>
      </c>
      <c r="E22" s="24">
        <f>E18*E20</f>
        <v>276.24386824304042</v>
      </c>
      <c r="F22" s="24">
        <f>F18*F20</f>
        <v>6803.6507037553492</v>
      </c>
      <c r="G22" s="24"/>
      <c r="H22" s="24"/>
      <c r="I22" s="24"/>
      <c r="J22" s="24">
        <f>J18*J20</f>
        <v>213.03211073316211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709.47482591739708</v>
      </c>
      <c r="C30" s="40">
        <f>IF(ISERROR(B30*3.6/1000000/'E Balans VL '!Z18*100),0,B30*3.6/1000000/'E Balans VL '!Z18*100)</f>
        <v>3.9477529844846385E-2</v>
      </c>
      <c r="D30" s="236" t="s">
        <v>691</v>
      </c>
    </row>
    <row r="31" spans="1:18">
      <c r="A31" s="6" t="s">
        <v>32</v>
      </c>
      <c r="B31" s="38">
        <f>IF( ISERROR(IND_ander_ele_kWh/1000),0,IND_ander_ele_kWh/1000)</f>
        <v>1054.4850730338699</v>
      </c>
      <c r="C31" s="40">
        <f>IF(ISERROR(B31*3.6/1000000/'E Balans VL '!Z19*100),0,B31*3.6/1000000/'E Balans VL '!Z19*100)</f>
        <v>4.9020241648332942E-2</v>
      </c>
      <c r="D31" s="236" t="s">
        <v>691</v>
      </c>
    </row>
    <row r="32" spans="1:18">
      <c r="A32" s="171" t="s">
        <v>40</v>
      </c>
      <c r="B32" s="38">
        <f>IF( ISERROR(IND_voed_ele_kWh/1000),0,IND_voed_ele_kWh/1000)</f>
        <v>11319.456171509999</v>
      </c>
      <c r="C32" s="40">
        <f>IF(ISERROR(B32*3.6/1000000/'E Balans VL '!Z20*100),0,B32*3.6/1000000/'E Balans VL '!Z20*100)</f>
        <v>0.40011991505298328</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1139.6951100246899</v>
      </c>
      <c r="C35" s="40">
        <f>IF(ISERROR(B35*3.6/1000000/'E Balans VL '!Z22*100),0,B35*3.6/1000000/'E Balans VL '!Z22*100)</f>
        <v>0.22904657879862406</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117326.276908628</v>
      </c>
      <c r="C37" s="40">
        <f>IF(ISERROR(B37*3.6/1000000/'E Balans VL '!Z15*100),0,B37*3.6/1000000/'E Balans VL '!Z15*100)</f>
        <v>0.88598670777927813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2639.1823403357562</v>
      </c>
      <c r="C5" s="18">
        <f>'Eigen informatie GS &amp; warmtenet'!B60</f>
        <v>0</v>
      </c>
      <c r="D5" s="31">
        <f>IF(ISERROR(SUM(LB_lb_gas_kWh,LB_rest_gas_kWh)/1000),0,SUM(LB_lb_gas_kWh,LB_rest_gas_kWh)/1000)*0.902</f>
        <v>777.93727341666113</v>
      </c>
      <c r="E5" s="18">
        <f>B17*'E Balans VL '!I25/3.6*1000000/100</f>
        <v>24.862865956136893</v>
      </c>
      <c r="F5" s="18">
        <f>B17*('E Balans VL '!L25/3.6*1000000+'E Balans VL '!N25/3.6*1000000)/100</f>
        <v>8612.5278442127692</v>
      </c>
      <c r="G5" s="19"/>
      <c r="H5" s="18"/>
      <c r="I5" s="18"/>
      <c r="J5" s="18">
        <f>('E Balans VL '!D25+'E Balans VL '!E25)/3.6*1000000*landbouw!B17/100</f>
        <v>326.47969247997048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2639.1823403357562</v>
      </c>
      <c r="C8" s="22">
        <f>C5+C6</f>
        <v>0</v>
      </c>
      <c r="D8" s="22">
        <f>MAX((D5+D6),0)</f>
        <v>777.93727341666113</v>
      </c>
      <c r="E8" s="22">
        <f>MAX((E5+E6),0)</f>
        <v>24.862865956136893</v>
      </c>
      <c r="F8" s="22">
        <f>MAX((F5+F6),0)</f>
        <v>8612.5278442127692</v>
      </c>
      <c r="G8" s="22"/>
      <c r="H8" s="22"/>
      <c r="I8" s="22"/>
      <c r="J8" s="22">
        <f>MAX((J5+J6),0)</f>
        <v>326.47969247997048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0.21295269019836863</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562.02097929852573</v>
      </c>
      <c r="C12" s="24">
        <f ca="1">C8*C10</f>
        <v>0</v>
      </c>
      <c r="D12" s="24">
        <f>D8*D10</f>
        <v>157.14332923016556</v>
      </c>
      <c r="E12" s="24">
        <f>E8*E10</f>
        <v>5.6438705720430749</v>
      </c>
      <c r="F12" s="24">
        <f>F8*F10</f>
        <v>2299.5449344048093</v>
      </c>
      <c r="G12" s="24"/>
      <c r="H12" s="24"/>
      <c r="I12" s="24"/>
      <c r="J12" s="24">
        <f>J8*J10</f>
        <v>115.57381113790954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0.3573031160957989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339.30035943426208</v>
      </c>
      <c r="C26" s="246">
        <f>B26*'GWP N2O_CH4'!B5</f>
        <v>7125.3075481195037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119.04468929541144</v>
      </c>
      <c r="C27" s="246">
        <f>B27*'GWP N2O_CH4'!B5</f>
        <v>2499.9384752036403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5.5620336451200441</v>
      </c>
      <c r="C28" s="246">
        <f>B28*'GWP N2O_CH4'!B4</f>
        <v>1724.2304299872137</v>
      </c>
      <c r="D28" s="51"/>
    </row>
    <row r="29" spans="1:4">
      <c r="A29" s="42" t="s">
        <v>272</v>
      </c>
      <c r="B29" s="246">
        <f>B34*'ha_N2O bodem landbouw'!B4</f>
        <v>16.849439629399129</v>
      </c>
      <c r="C29" s="246">
        <f>B29*'GWP N2O_CH4'!B4</f>
        <v>5223.3262851137297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4.5488182750821546E-3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3.6151605399208859E-5</v>
      </c>
      <c r="C5" s="435" t="s">
        <v>210</v>
      </c>
      <c r="D5" s="420">
        <f>SUM(D6:D11)</f>
        <v>3.9219332163968543E-5</v>
      </c>
      <c r="E5" s="420">
        <f>SUM(E6:E11)</f>
        <v>2.918787473491139E-3</v>
      </c>
      <c r="F5" s="433" t="s">
        <v>210</v>
      </c>
      <c r="G5" s="420">
        <f>SUM(G6:G11)</f>
        <v>0.87939854048084376</v>
      </c>
      <c r="H5" s="420">
        <f>SUM(H6:H11)</f>
        <v>9.8590782572195654E-2</v>
      </c>
      <c r="I5" s="435" t="s">
        <v>210</v>
      </c>
      <c r="J5" s="435" t="s">
        <v>210</v>
      </c>
      <c r="K5" s="435" t="s">
        <v>210</v>
      </c>
      <c r="L5" s="435" t="s">
        <v>210</v>
      </c>
      <c r="M5" s="420">
        <f>SUM(M6:M11)</f>
        <v>4.3645365989006507E-2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7.6745024988895713E-6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8.9383508705705891E-6</v>
      </c>
      <c r="E6" s="423">
        <f>vkm_GW_PW*SUMIFS(TableVerdeelsleutelVkm[LPG],TableVerdeelsleutelVkm[Voertuigtype],"Lichte voertuigen")*SUMIFS(TableECFTransport[EnergieConsumptieFactor (PJ per km)],TableECFTransport[Index],CONCATENATE($A6,"_LPG_LPG"))</f>
        <v>5.7989723554577354E-4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9.0474871374627633E-2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2.1804429686664375E-2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5.0245060346441241E-3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2.6639377287731556E-7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4.4067409037898506E-2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1.1824856158983241E-6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1.9608559461905422E-3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2.1767503873943669E-6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4.14055377998844E-6</v>
      </c>
      <c r="E8" s="423">
        <f>vkm_NGW_PW*SUMIFS(TableVerdeelsleutelVkm[LPG],TableVerdeelsleutelVkm[Voertuigtype],"Lichte voertuigen")*SUMIFS(TableECFTransport[EnergieConsumptieFactor (PJ per km)],TableECFTransport[Index],CONCATENATE($A8,"_LPG_LPG"))</f>
        <v>2.54515537998408E-4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3.7382672488852041E-2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9.6282706917321086E-3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2.1043966441012252E-3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2.1232382297177586E-8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4.5039877229932478E-3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1.1375931526620256E-7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2.0041243567014337E-4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2.3436972596506639E-5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2.6140427513409514E-5</v>
      </c>
      <c r="E10" s="423">
        <f>vkm_SW_PW*SUMIFS(TableVerdeelsleutelVkm[LPG],TableVerdeelsleutelVkm[Voertuigtype],"Lichte voertuigen")*SUMIFS(TableECFTransport[EnergieConsumptieFactor (PJ per km)],TableECFTransport[Index],CONCATENATE($A10,"_LPG_LPG"))</f>
        <v>2.0843746999469575E-3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0.30384753642211954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6.7145017842643651E-2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1.6595516641142921E-2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2.5757537612437937E-6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0.39912206343435286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1.1768106224352126E-5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1.7759678287257549E-2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10.042112610891349</v>
      </c>
      <c r="C14" s="22"/>
      <c r="D14" s="22">
        <f t="shared" ref="D14:M14" si="0">((D5)*10^9/3600)+D12</f>
        <v>10.894258934435706</v>
      </c>
      <c r="E14" s="22">
        <f t="shared" si="0"/>
        <v>810.77429819198312</v>
      </c>
      <c r="F14" s="22"/>
      <c r="G14" s="22">
        <f t="shared" si="0"/>
        <v>244277.37235578994</v>
      </c>
      <c r="H14" s="22">
        <f t="shared" si="0"/>
        <v>27386.328492276571</v>
      </c>
      <c r="I14" s="22"/>
      <c r="J14" s="22"/>
      <c r="K14" s="22"/>
      <c r="L14" s="22"/>
      <c r="M14" s="22">
        <f t="shared" si="0"/>
        <v>12123.712774724028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0.21295269019836863</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2.1384948957642762</v>
      </c>
      <c r="C18" s="24"/>
      <c r="D18" s="24">
        <f t="shared" ref="D18:M18" si="1">D14*D16</f>
        <v>2.2006403047560128</v>
      </c>
      <c r="E18" s="24">
        <f t="shared" si="1"/>
        <v>184.04576568958018</v>
      </c>
      <c r="F18" s="24"/>
      <c r="G18" s="24">
        <f t="shared" si="1"/>
        <v>65222.058418995919</v>
      </c>
      <c r="H18" s="24">
        <f t="shared" si="1"/>
        <v>6819.1957945768663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8.8659580241689091E-6</v>
      </c>
      <c r="C50" s="316">
        <f t="shared" ref="C50:P50" si="2">SUM(C51:C52)</f>
        <v>0</v>
      </c>
      <c r="D50" s="316">
        <f t="shared" si="2"/>
        <v>0</v>
      </c>
      <c r="E50" s="316">
        <f t="shared" si="2"/>
        <v>0</v>
      </c>
      <c r="F50" s="316">
        <f t="shared" si="2"/>
        <v>0</v>
      </c>
      <c r="G50" s="316">
        <f t="shared" si="2"/>
        <v>1.7683328077361055E-3</v>
      </c>
      <c r="H50" s="316">
        <f t="shared" si="2"/>
        <v>0</v>
      </c>
      <c r="I50" s="316">
        <f t="shared" si="2"/>
        <v>0</v>
      </c>
      <c r="J50" s="316">
        <f t="shared" si="2"/>
        <v>0</v>
      </c>
      <c r="K50" s="316">
        <f t="shared" si="2"/>
        <v>0</v>
      </c>
      <c r="L50" s="316">
        <f t="shared" si="2"/>
        <v>0</v>
      </c>
      <c r="M50" s="316">
        <f t="shared" si="2"/>
        <v>7.8158426721774716E-5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8.8659580241689091E-6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1.7683328077361055E-3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7.8158426721774716E-5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2.4627661178246969</v>
      </c>
      <c r="C54" s="22">
        <f t="shared" ref="C54:P54" si="3">(C50)*10^9/3600</f>
        <v>0</v>
      </c>
      <c r="D54" s="22">
        <f t="shared" si="3"/>
        <v>0</v>
      </c>
      <c r="E54" s="22">
        <f t="shared" si="3"/>
        <v>0</v>
      </c>
      <c r="F54" s="22">
        <f t="shared" si="3"/>
        <v>0</v>
      </c>
      <c r="G54" s="22">
        <f t="shared" si="3"/>
        <v>491.20355770447378</v>
      </c>
      <c r="H54" s="22">
        <f t="shared" si="3"/>
        <v>0</v>
      </c>
      <c r="I54" s="22">
        <f t="shared" si="3"/>
        <v>0</v>
      </c>
      <c r="J54" s="22">
        <f t="shared" si="3"/>
        <v>0</v>
      </c>
      <c r="K54" s="22">
        <f t="shared" si="3"/>
        <v>0</v>
      </c>
      <c r="L54" s="22">
        <f t="shared" si="3"/>
        <v>0</v>
      </c>
      <c r="M54" s="22">
        <f t="shared" si="3"/>
        <v>21.710674089381865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0.21295269019836863</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0.52445267012016172</v>
      </c>
      <c r="C58" s="24">
        <f t="shared" ref="C58:P58" ca="1" si="4">C54*C56</f>
        <v>0</v>
      </c>
      <c r="D58" s="24">
        <f t="shared" si="4"/>
        <v>0</v>
      </c>
      <c r="E58" s="24">
        <f t="shared" si="4"/>
        <v>0</v>
      </c>
      <c r="F58" s="24">
        <f t="shared" si="4"/>
        <v>0</v>
      </c>
      <c r="G58" s="24">
        <f t="shared" si="4"/>
        <v>131.1513499070945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6075.600889466763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1143</v>
      </c>
      <c r="C8" s="546">
        <f>B48</f>
        <v>1344.7058823529412</v>
      </c>
      <c r="D8" s="969"/>
      <c r="E8" s="969">
        <f>E48</f>
        <v>0</v>
      </c>
      <c r="F8" s="970"/>
      <c r="G8" s="547"/>
      <c r="H8" s="969">
        <f>I48</f>
        <v>0</v>
      </c>
      <c r="I8" s="969">
        <f>G48+F48</f>
        <v>0</v>
      </c>
      <c r="J8" s="969">
        <f>H48+D48+C48</f>
        <v>0</v>
      </c>
      <c r="K8" s="969"/>
      <c r="L8" s="969"/>
      <c r="M8" s="969"/>
      <c r="N8" s="548"/>
      <c r="O8" s="549">
        <f>C8*$C$12+D8*$D$12+E8*$E$12+F8*$F$12+G8*$G$12+H8*$H$12+I8*$I$12+J8*$J$12</f>
        <v>271.63058823529417</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7218.600889466763</v>
      </c>
      <c r="C10" s="558">
        <f t="shared" ref="C10:L10" si="0">SUM(C8:C9)</f>
        <v>1344.7058823529412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271.63058823529417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1632.8571428571429</v>
      </c>
      <c r="C17" s="570">
        <f>B49</f>
        <v>1921.0084033613443</v>
      </c>
      <c r="D17" s="571"/>
      <c r="E17" s="571">
        <f>E49</f>
        <v>0</v>
      </c>
      <c r="F17" s="572"/>
      <c r="G17" s="573"/>
      <c r="H17" s="570">
        <f>I49</f>
        <v>0</v>
      </c>
      <c r="I17" s="571">
        <f>G49+F49</f>
        <v>0</v>
      </c>
      <c r="J17" s="571">
        <f>H49+D49+C49</f>
        <v>0</v>
      </c>
      <c r="K17" s="571"/>
      <c r="L17" s="571"/>
      <c r="M17" s="571"/>
      <c r="N17" s="976"/>
      <c r="O17" s="574">
        <f>C17*$C$22+E17*$E$22+H17*$H$22+I17*$I$22+J17*$J$22+D17*$D$22+F17*$F$22+G17*$G$22+K17*$K$22+L17*$L$22</f>
        <v>388.04369747899159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1632.8571428571429</v>
      </c>
      <c r="C20" s="557">
        <f>SUM(C17:C19)</f>
        <v>1921.0084033613443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388.04369747899159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45017</v>
      </c>
      <c r="C28" s="777">
        <v>9770</v>
      </c>
      <c r="D28" s="630" t="s">
        <v>965</v>
      </c>
      <c r="E28" s="629" t="s">
        <v>966</v>
      </c>
      <c r="F28" s="629" t="s">
        <v>967</v>
      </c>
      <c r="G28" s="629" t="s">
        <v>968</v>
      </c>
      <c r="H28" s="629" t="s">
        <v>969</v>
      </c>
      <c r="I28" s="629" t="s">
        <v>970</v>
      </c>
      <c r="J28" s="776">
        <v>40577</v>
      </c>
      <c r="K28" s="776">
        <v>40582</v>
      </c>
      <c r="L28" s="629" t="s">
        <v>971</v>
      </c>
      <c r="M28" s="629">
        <v>254</v>
      </c>
      <c r="N28" s="629">
        <v>1143</v>
      </c>
      <c r="O28" s="629">
        <v>1632.8571428571429</v>
      </c>
      <c r="P28" s="629">
        <v>3265.7142857142858</v>
      </c>
      <c r="Q28" s="629">
        <v>0</v>
      </c>
      <c r="R28" s="629">
        <v>0</v>
      </c>
      <c r="S28" s="629">
        <v>0</v>
      </c>
      <c r="T28" s="629">
        <v>0</v>
      </c>
      <c r="U28" s="629">
        <v>0</v>
      </c>
      <c r="V28" s="629">
        <v>0</v>
      </c>
      <c r="W28" s="629"/>
      <c r="X28" s="629">
        <v>600</v>
      </c>
      <c r="Y28" s="629" t="s">
        <v>39</v>
      </c>
      <c r="Z28" s="631" t="s">
        <v>384</v>
      </c>
    </row>
    <row r="29" spans="1:26" s="565" customFormat="1">
      <c r="A29" s="585" t="s">
        <v>275</v>
      </c>
      <c r="B29" s="586"/>
      <c r="C29" s="586"/>
      <c r="D29" s="586"/>
      <c r="E29" s="586"/>
      <c r="F29" s="586"/>
      <c r="G29" s="586"/>
      <c r="H29" s="586"/>
      <c r="I29" s="586"/>
      <c r="J29" s="586"/>
      <c r="K29" s="586"/>
      <c r="L29" s="587"/>
      <c r="M29" s="587">
        <f>SUM(M28:M28)</f>
        <v>254</v>
      </c>
      <c r="N29" s="587">
        <f>SUM(N28:N28)</f>
        <v>1143</v>
      </c>
      <c r="O29" s="587">
        <f>SUM(O28:O28)</f>
        <v>1632.8571428571429</v>
      </c>
      <c r="P29" s="587">
        <f>SUM(P28:P28)</f>
        <v>3265.7142857142858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254</v>
      </c>
      <c r="N30" s="587">
        <f>SUMIF($Z$28:$Z$28,"industrie",N28:N28)</f>
        <v>1143</v>
      </c>
      <c r="O30" s="587">
        <f>SUMIF($Z$28:$Z$28,"industrie",O28:O28)</f>
        <v>1632.8571428571429</v>
      </c>
      <c r="P30" s="587">
        <f>SUMIF($Z$28:$Z$28,"industrie",P28:P28)</f>
        <v>3265.7142857142858</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1344.7058823529412</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1921.0084033613443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2021-06-29T16:47:23Z</dcterms:modified>
</cp:coreProperties>
</file>