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<sst xmlns="http://schemas.openxmlformats.org/spreadsheetml/2006/main" count="2565" uniqueCount="965">
  <si>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</si>
  <si>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</si>
  <si>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</si>
  <si>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</si>
  <si>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</si>
  <si>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</si>
  <si>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</si>
  <si>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</si>
  <si>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</si>
  <si>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</si>
  <si>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</si>
  <si>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</si>
  <si>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</si>
  <si>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</si>
  <si>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</si>
  <si>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</si>
  <si>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</si>
  <si>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</si>
  <si>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</si>
  <si>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</si>
  <si>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</si>
  <si>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</si>
  <si>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</si>
  <si>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</si>
  <si>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</si>
  <si>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</si>
  <si>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</si>
  <si>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</si>
  <si>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</si>
  <si>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</si>
  <si>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</si>
  <si>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</si>
  <si>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</si>
  <si>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</si>
  <si>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</si>
  <si>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</si>
  <si>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</si>
  <si>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</si>
  <si>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</si>
  <si>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</si>
  <si>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</si>
  <si>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</si>
  <si>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</si>
  <si>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</si>
  <si>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</si>
  <si>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</si>
  <si>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</si>
  <si>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</si>
  <si>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</si>
  <si>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</si>
  <si>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</si>
  <si>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</si>
  <si>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</si>
  <si>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</si>
  <si>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</si>
  <si>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</si>
  <si>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</si>
  <si>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</si>
  <si>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</si>
  <si>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</si>
  <si>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</si>
  <si>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</si>
  <si>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</si>
  <si>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</si>
  <si>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</si>
  <si>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</si>
  <si>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</si>
  <si>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</si>
  <si>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</si>
  <si>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</si>
  <si>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</si>
  <si>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</si>
  <si>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</si>
  <si>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</si>
  <si>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</si>
  <si>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</si>
  <si>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</si>
  <si>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</si>
  <si>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</si>
  <si>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</si>
  <si>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</si>
  <si>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</si>
  <si>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</si>
  <si>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</si>
  <si>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</si>
  <si>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</si>
  <si>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</si>
  <si>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</si>
  <si>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</si>
  <si>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</si>
  <si>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</si>
  <si>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</si>
  <si>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</si>
  <si>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</si>
  <si>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</si>
  <si>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</si>
  <si>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</si>
  <si>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</si>
  <si>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</si>
  <si>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</si>
  <si>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</si>
  <si>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</si>
  <si>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</si>
  <si>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</si>
  <si>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</si>
  <si>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</si>
  <si>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</si>
  <si>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</si>
  <si>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</si>
  <si>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</si>
  <si>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</si>
  <si>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</si>
  <si>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</si>
  <si>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</si>
  <si>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</si>
  <si>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</si>
  <si>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</si>
  <si>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</si>
  <si>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</si>
  <si>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</si>
  <si>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</si>
  <si>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</si>
  <si>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</si>
  <si>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</si>
  <si>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</si>
  <si>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</si>
  <si>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</si>
  <si>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</si>
  <si>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</si>
  <si>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</si>
  <si>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</si>
  <si>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</si>
  <si>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</si>
  <si>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</si>
  <si>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</si>
  <si>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</si>
  <si>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</si>
  <si>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</si>
  <si>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</si>
  <si>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</si>
  <si>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</si>
  <si>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</si>
  <si>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</si>
  <si>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</si>
  <si>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</si>
  <si>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</si>
  <si>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</si>
  <si>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</si>
  <si>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</si>
  <si>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</si>
  <si>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</si>
  <si>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</si>
  <si>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</si>
  <si>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</si>
  <si>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</si>
  <si>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</si>
  <si>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</si>
  <si>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</si>
  <si>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</si>
  <si>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</si>
  <si>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</si>
  <si>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</si>
  <si>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</si>
  <si>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</si>
  <si>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</si>
  <si>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</si>
  <si>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</si>
  <si>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</si>
  <si>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</si>
  <si>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</si>
  <si>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</si>
  <si>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</si>
  <si>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</si>
  <si>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</si>
  <si>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</si>
  <si>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</si>
  <si>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</si>
  <si>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</si>
  <si>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</si>
  <si>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</si>
  <si>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</si>
  <si>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</si>
  <si>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</si>
  <si>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</si>
  <si>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</si>
  <si>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</si>
  <si>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</si>
  <si>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</si>
  <si>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</si>
  <si>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</si>
  <si>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</si>
  <si>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</si>
  <si>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</si>
  <si>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</si>
  <si>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</si>
  <si>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</si>
  <si>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</si>
  <si>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</si>
  <si>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</si>
  <si>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</si>
  <si>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</si>
  <si>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</si>
  <si>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</si>
  <si>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</si>
  <si>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</si>
  <si>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</si>
  <si>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</si>
  <si>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</si>
  <si>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</si>
  <si>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</si>
  <si>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</si>
  <si>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</si>
  <si>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</si>
  <si>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</si>
  <si>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</si>
  <si>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</si>
  <si>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</si>
  <si>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</si>
  <si>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</si>
  <si>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</si>
  <si>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</si>
  <si>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</si>
  <si>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</si>
  <si>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</si>
  <si>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</si>
  <si>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</si>
  <si>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</si>
  <si>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</si>
  <si>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</si>
  <si>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</si>
  <si>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</si>
  <si>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</si>
  <si>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</si>
  <si>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</si>
  <si>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</si>
  <si>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</si>
  <si>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</si>
  <si>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</si>
  <si>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</si>
  <si>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</si>
  <si>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</si>
  <si>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</si>
  <si>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</si>
  <si>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</si>
  <si>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</si>
  <si>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</si>
  <si>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</si>
  <si>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</si>
  <si>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</si>
  <si>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</si>
  <si>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</si>
  <si>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</si>
  <si>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</si>
  <si>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</si>
  <si>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</si>
  <si>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</si>
  <si>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</si>
  <si>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</si>
  <si>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</si>
  <si>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</si>
  <si>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</si>
  <si>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</si>
  <si>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</si>
  <si>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</si>
  <si>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</si>
  <si>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</si>
  <si>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</si>
  <si>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</si>
  <si>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</si>
  <si>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</si>
  <si>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</si>
  <si>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</si>
  <si>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</si>
  <si>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</si>
  <si>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</si>
  <si>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</si>
  <si>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</si>
  <si>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</si>
  <si>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</si>
  <si>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</si>
  <si>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</si>
  <si>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</si>
  <si>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</si>
  <si>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</si>
  <si>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</si>
  <si>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</si>
  <si>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</si>
  <si>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</si>
  <si>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</si>
  <si>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</si>
  <si>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</si>
  <si>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</si>
  <si>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</si>
  <si>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</si>
  <si>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</si>
  <si>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</si>
  <si>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</si>
  <si>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</si>
  <si>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</si>
  <si>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</si>
  <si>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</si>
  <si>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</si>
  <si>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</si>
  <si>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</si>
  <si>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</si>
  <si>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</si>
  <si>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</si>
  <si>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</si>
  <si>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</si>
  <si>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</si>
  <si>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</si>
  <si>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</si>
  <si>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</si>
  <si>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</si>
  <si>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</si>
  <si>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</si>
  <si>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</si>
  <si>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</si>
  <si>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</si>
  <si>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</si>
  <si>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</si>
  <si>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</si>
  <si>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</si>
  <si>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</si>
  <si>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</si>
  <si>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</si>
  <si>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</si>
  <si>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</si>
  <si>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</si>
  <si>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</si>
  <si>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</si>
  <si>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</si>
  <si>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</si>
  <si>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</si>
  <si>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</si>
  <si>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</si>
  <si>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</si>
  <si>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</si>
  <si>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</si>
  <si>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</si>
  <si>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</si>
  <si>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</si>
  <si>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</si>
  <si>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</si>
  <si>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</si>
  <si>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</si>
  <si>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</si>
  <si>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</si>
  <si>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</si>
  <si>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</si>
  <si>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</si>
  <si>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</si>
  <si>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</si>
  <si>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</si>
  <si>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</si>
  <si>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</si>
  <si>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</si>
  <si>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</si>
  <si>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</si>
  <si>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</si>
  <si>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</si>
  <si>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</si>
  <si>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</si>
  <si>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</si>
  <si>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</si>
  <si>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</si>
  <si>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</si>
  <si>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</si>
  <si>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</si>
  <si>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</si>
  <si>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</si>
  <si>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</si>
  <si>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</si>
  <si>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</si>
  <si>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</si>
  <si>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</si>
  <si>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</si>
  <si>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</si>
  <si>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</si>
  <si>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</si>
  <si>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</si>
  <si>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</si>
  <si>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</si>
  <si>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</si>
  <si>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</si>
  <si>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</si>
  <si>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</si>
  <si>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</si>
  <si>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</si>
  <si>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</si>
  <si>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</si>
  <si>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</si>
  <si>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</si>
  <si>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</si>
  <si>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</si>
  <si>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</si>
  <si>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</si>
  <si>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</si>
  <si>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</si>
  <si>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</si>
  <si>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</si>
  <si>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</si>
  <si>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</si>
  <si>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</si>
  <si>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</si>
  <si>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</si>
  <si>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</si>
  <si>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</si>
  <si>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</si>
  <si>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</si>
  <si>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</si>
  <si>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</si>
  <si>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</si>
  <si>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</si>
  <si>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</si>
  <si>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</si>
  <si>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</si>
  <si>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</si>
  <si>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</si>
  <si>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</si>
  <si>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</si>
  <si>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</si>
  <si>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</si>
  <si>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</si>
  <si>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</si>
  <si>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</si>
  <si>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</si>
  <si>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</si>
  <si>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</si>
  <si>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</si>
  <si>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</si>
  <si>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</si>
  <si>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</si>
  <si>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</si>
  <si>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</si>
  <si>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</si>
  <si>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</si>
  <si>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</si>
  <si>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</si>
  <si>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</si>
  <si>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</si>
  <si>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</si>
  <si>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</si>
  <si>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</si>
  <si>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</si>
  <si>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</si>
  <si>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</si>
  <si>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</si>
  <si>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</si>
  <si>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</si>
  <si>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</si>
  <si>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</si>
  <si>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</si>
  <si>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</si>
  <si>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</si>
  <si>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</si>
  <si>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</si>
  <si>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</si>
  <si>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</si>
  <si>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</si>
  <si>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</si>
  <si>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</si>
  <si>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</si>
  <si>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</si>
  <si>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</si>
  <si>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</si>
  <si>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</si>
  <si>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</si>
  <si>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</si>
  <si>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</si>
  <si>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</si>
  <si>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</si>
  <si>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</si>
  <si>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</si>
  <si>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</si>
  <si>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</si>
  <si>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</si>
  <si>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</si>
  <si>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</si>
  <si>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</si>
  <si>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</si>
  <si>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</si>
  <si>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</si>
  <si>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</si>
  <si>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</si>
  <si>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</si>
  <si>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</si>
  <si>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</si>
  <si>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</si>
  <si>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</si>
  <si>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</si>
  <si>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</si>
  <si>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</si>
  <si>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</si>
  <si>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</si>
  <si>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</si>
  <si>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</si>
  <si>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</si>
  <si>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</si>
  <si>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</si>
  <si>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</si>
  <si>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</si>
  <si>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</si>
  <si>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</si>
  <si>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</si>
  <si>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</si>
  <si>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</si>
  <si>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</si>
  <si>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</si>
  <si>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</si>
  <si>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</si>
  <si>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</si>
  <si>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</si>
  <si>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</si>
  <si>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</si>
  <si>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</si>
  <si>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</si>
  <si>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</si>
  <si>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</si>
  <si>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</si>
  <si>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</si>
  <si>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</si>
  <si>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</si>
  <si>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</si>
  <si>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</si>
  <si>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</si>
  <si>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</si>
  <si>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</si>
  <si>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</si>
  <si>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</si>
  <si>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</si>
  <si>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</si>
  <si>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</si>
  <si>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</si>
  <si>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</si>
  <si>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</si>
  <si>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</si>
  <si>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</si>
  <si>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</si>
  <si>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</si>
  <si>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</si>
  <si>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</si>
  <si>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</si>
  <si>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</si>
  <si>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</si>
  <si>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</si>
  <si>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</si>
  <si>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</si>
  <si>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</si>
  <si>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</si>
  <si>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</si>
  <si>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</si>
  <si>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</si>
  <si>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</si>
  <si>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</si>
  <si>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</si>
  <si>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</si>
  <si>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</si>
  <si>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</si>
  <si>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</si>
  <si>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</si>
  <si>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</si>
  <si>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</si>
  <si>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</si>
  <si>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</si>
  <si>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</si>
  <si>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</si>
  <si>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</si>
  <si>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</si>
  <si>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</si>
  <si>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</si>
  <si>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</si>
  <si>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</si>
  <si>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</si>
  <si>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</si>
  <si>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</si>
  <si>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</si>
  <si>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</si>
  <si>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</si>
  <si>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</si>
  <si>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</si>
  <si>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</si>
  <si>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</si>
  <si>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</si>
  <si>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</si>
  <si>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</si>
  <si>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</si>
  <si>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</si>
  <si>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</si>
  <si>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</si>
  <si>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</si>
  <si>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</si>
  <si>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</si>
  <si>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</si>
  <si>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</si>
  <si>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</si>
  <si>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</si>
  <si>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</si>
  <si>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</si>
  <si>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</si>
  <si>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</si>
  <si>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</si>
  <si>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</si>
  <si>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</si>
  <si>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</si>
  <si>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</si>
  <si>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</si>
  <si>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</si>
  <si>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</si>
  <si>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</si>
  <si>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</si>
  <si>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</si>
  <si>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</si>
  <si>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</si>
  <si>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</si>
  <si>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</si>
  <si>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</si>
  <si>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</si>
  <si>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</si>
  <si>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</si>
  <si>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</si>
  <si>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</si>
  <si>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</si>
  <si>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</si>
  <si>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</si>
  <si>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</si>
  <si>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</si>
  <si>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</si>
  <si>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</si>
  <si>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</si>
  <si>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</si>
  <si>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</si>
  <si>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</si>
  <si>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</si>
  <si>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</si>
  <si>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</si>
  <si>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</si>
  <si>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</si>
  <si>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</si>
  <si>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</si>
  <si>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</si>
  <si>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</si>
  <si>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</si>
  <si>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</si>
  <si>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</si>
  <si>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</si>
  <si>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</si>
  <si>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</si>
  <si>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</si>
  <si>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</si>
  <si>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</si>
  <si>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</si>
  <si>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</si>
  <si>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</si>
  <si>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</si>
  <si>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</si>
  <si>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</si>
  <si>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</si>
  <si>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</si>
  <si>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</si>
  <si>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</si>
  <si>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</si>
  <si>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</si>
  <si>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</si>
  <si>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</si>
  <si>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</si>
  <si>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</si>
  <si>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</si>
  <si>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</si>
  <si>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</si>
  <si>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</si>
  <si>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</si>
  <si>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</si>
  <si>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</si>
  <si>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</si>
  <si>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</si>
  <si>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</si>
  <si>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</si>
  <si>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</si>
  <si>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</si>
  <si>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</si>
  <si>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</si>
  <si>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</si>
  <si>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</si>
  <si>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</si>
  <si>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</si>
  <si>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</si>
  <si>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</si>
  <si>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</si>
  <si>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</si>
  <si>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</si>
  <si>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</si>
  <si>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</si>
  <si>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</si>
  <si>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</si>
  <si>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</si>
  <si>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</si>
  <si>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</si>
  <si>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</si>
  <si>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</si>
  <si>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</si>
  <si>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</si>
  <si>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</si>
  <si>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</si>
  <si>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</si>
  <si>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</si>
  <si>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</si>
  <si>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</si>
  <si>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</si>
  <si>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</si>
  <si>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</si>
  <si>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</si>
  <si>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</si>
  <si>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</si>
  <si>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</si>
  <si>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</si>
  <si>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</si>
  <si>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</si>
  <si>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</si>
  <si>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</si>
  <si>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</si>
  <si>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</si>
  <si>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</si>
  <si>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</si>
  <si>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</si>
  <si>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</si>
  <si>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</si>
  <si>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</si>
  <si>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</si>
  <si>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</si>
  <si>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</si>
  <si>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</si>
  <si>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</si>
  <si>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</si>
  <si>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</si>
  <si>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</si>
  <si>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</si>
  <si>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</si>
  <si>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</si>
  <si>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</si>
  <si>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</si>
  <si>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</si>
  <si>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</si>
  <si>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</si>
  <si>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</si>
  <si>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</si>
  <si>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</si>
  <si>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</si>
  <si>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</si>
  <si>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</si>
  <si>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</si>
  <si>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</si>
  <si>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</si>
  <si>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</si>
  <si>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</si>
  <si>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</si>
  <si>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</si>
  <si>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</si>
  <si>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</si>
  <si>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</si>
  <si>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</si>
  <si>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</si>
  <si>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</si>
  <si>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</si>
  <si>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</si>
  <si>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</si>
  <si>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</si>
  <si>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</si>
  <si>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</si>
  <si>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</si>
  <si>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</si>
  <si>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</si>
  <si>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</si>
  <si>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</si>
  <si>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</si>
  <si>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</si>
  <si>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</si>
  <si>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</si>
  <si>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</si>
  <si>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</si>
  <si>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</si>
  <si>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</si>
  <si>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</si>
  <si>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</si>
  <si>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</si>
  <si>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</si>
  <si>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</si>
  <si>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</si>
  <si>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</si>
  <si>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</si>
  <si>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</si>
  <si>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</si>
  <si>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</si>
  <si>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</si>
  <si>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</si>
  <si>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</si>
  <si>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</si>
  <si>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</si>
  <si>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</si>
  <si>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</si>
  <si>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</si>
  <si>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</si>
  <si>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</si>
  <si>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</si>
  <si>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</si>
  <si>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</si>
  <si>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</si>
  <si>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</si>
  <si>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</si>
  <si>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</si>
  <si>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</si>
  <si>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</si>
  <si>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</si>
  <si>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</si>
  <si>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</si>
  <si>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</si>
  <si>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</si>
  <si>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</si>
  <si>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</si>
  <si>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</si>
  <si>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</si>
  <si>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</si>
  <si>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</si>
  <si>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</si>
  <si>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</si>
  <si>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</si>
  <si>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</si>
  <si>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</si>
  <si>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</si>
  <si>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</si>
  <si>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</si>
  <si>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</si>
  <si>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</si>
  <si>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</si>
  <si>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</si>
  <si>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</si>
  <si>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</si>
  <si>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</si>
  <si>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</si>
  <si>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</si>
  <si>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</si>
  <si>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</si>
  <si>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</si>
  <si>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</si>
  <si>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</si>
  <si>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</si>
  <si>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</si>
  <si>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</si>
  <si>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</si>
  <si>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</si>
  <si>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</si>
  <si>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</si>
  <si>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</si>
  <si>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</si>
  <si>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</si>
  <si>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</si>
  <si>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</si>
  <si>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</si>
  <si>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</si>
  <si>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</si>
  <si>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</si>
  <si>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</si>
  <si>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</si>
  <si>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</si>
  <si>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</si>
  <si>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</si>
  <si>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</si>
  <si>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</si>
  <si>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</si>
  <si>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</si>
  <si>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</si>
  <si>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</si>
  <si>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</si>
  <si>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</si>
  <si>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</si>
  <si>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</si>
  <si>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</si>
  <si>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</si>
  <si>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</si>
  <si>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</si>
  <si>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</si>
  <si>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</si>
  <si>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</si>
  <si>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</si>
  <si>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</si>
  <si>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</si>
  <si>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</si>
  <si>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</si>
  <si>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</si>
  <si>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</si>
  <si>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</si>
  <si>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</si>
  <si>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</si>
  <si>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</si>
  <si>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</si>
  <si>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</si>
  <si>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</si>
  <si>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</si>
  <si>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</si>
  <si>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</si>
  <si>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</si>
  <si>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</si>
  <si>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</si>
  <si>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</si>
  <si>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</si>
  <si>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</si>
  <si>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</si>
  <si>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</si>
  <si>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</si>
  <si>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</si>
  <si>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</si>
  <si>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</si>
  <si>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</si>
  <si>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</si>
  <si>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</si>
  <si>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</si>
  <si>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</si>
  <si>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</si>
  <si>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</si>
  <si>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</si>
  <si>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</si>
  <si>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</si>
  <si>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</si>
  <si>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</si>
  <si>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</si>
  <si>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</si>
  <si>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</si>
  <si>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</si>
  <si>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</si>
  <si>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</si>
  <si>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</si>
  <si>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</si>
  <si>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</si>
  <si>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</si>
  <si>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</si>
  <si>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</si>
  <si>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</si>
  <si>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</si>
  <si>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</si>
  <si>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</si>
  <si>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</si>
  <si>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</si>
  <si>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</si>
  <si>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</si>
  <si>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</si>
  <si>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</si>
  <si>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</si>
  <si>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</si>
  <si>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</si>
  <si>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</si>
  <si>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</si>
  <si>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</si>
  <si>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</si>
  <si>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</si>
  <si>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</si>
  <si>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</si>
  <si>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</si>
  <si>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</si>
  <si>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</si>
  <si>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44064</t>
  </si>
  <si>
    <t>SINT-MARTENS-LATEM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</si>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</sst>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44064</v>
      </c>
      <c r="B6" s="386"/>
      <c r="C6" s="387"/>
    </row>
    <row r="7" spans="1:7" s="384" customFormat="1" ht="15.75" customHeight="1">
      <c r="A7" s="388" t="str">
        <f>txtMunicipality</f>
        <v>SINT-MARTENS-LATEM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18310.968759412801</v>
      </c>
      <c r="D10" s="676">
        <f ca="1">tertiair!C16</f>
        <v>0</v>
      </c>
      <c r="E10" s="676">
        <f ca="1">tertiair!D16</f>
        <v>16267.287706162213</v>
      </c>
      <c r="F10" s="676">
        <f>tertiair!E16</f>
        <v>176.14655524272749</v>
      </c>
      <c r="G10" s="676">
        <f ca="1">tertiair!F16</f>
        <v>3293.7747551871616</v>
      </c>
      <c r="H10" s="676">
        <f>tertiair!G16</f>
        <v>0</v>
      </c>
      <c r="I10" s="676">
        <f>tertiair!H16</f>
        <v>0</v>
      </c>
      <c r="J10" s="676">
        <f>tertiair!I16</f>
        <v>0</v>
      </c>
      <c r="K10" s="676">
        <f>tertiair!J16</f>
        <v>0</v>
      </c>
      <c r="L10" s="676">
        <f>tertiair!K16</f>
        <v>0</v>
      </c>
      <c r="M10" s="676">
        <f ca="1">tertiair!L16</f>
        <v>0</v>
      </c>
      <c r="N10" s="676">
        <f>tertiair!M16</f>
        <v>0</v>
      </c>
      <c r="O10" s="676">
        <f ca="1">tertiair!N16</f>
        <v>743.97142515458449</v>
      </c>
      <c r="P10" s="676">
        <f>tertiair!O16</f>
        <v>1.5633333333333335</v>
      </c>
      <c r="Q10" s="677">
        <f>tertiair!P16</f>
        <v>19.066666666666666</v>
      </c>
      <c r="R10" s="679">
        <f ca="1">SUM(C10:Q10)</f>
        <v>38812.779201159479</v>
      </c>
      <c r="S10" s="68"/>
    </row>
    <row r="11" spans="1:19" s="445" customFormat="1">
      <c r="A11" s="791" t="s">
        <v>220</v>
      </c>
      <c r="B11" s="796"/>
      <c r="C11" s="676">
        <f>huishoudens!B8</f>
        <v>21480.08216320795</v>
      </c>
      <c r="D11" s="676">
        <f>huishoudens!C8</f>
        <v>0</v>
      </c>
      <c r="E11" s="676">
        <f>huishoudens!D8</f>
        <v>24141.735024027912</v>
      </c>
      <c r="F11" s="676">
        <f>huishoudens!E8</f>
        <v>1219.0603018849406</v>
      </c>
      <c r="G11" s="676">
        <f>huishoudens!F8</f>
        <v>37165.609311742286</v>
      </c>
      <c r="H11" s="676">
        <f>huishoudens!G8</f>
        <v>0</v>
      </c>
      <c r="I11" s="676">
        <f>huishoudens!H8</f>
        <v>0</v>
      </c>
      <c r="J11" s="676">
        <f>huishoudens!I8</f>
        <v>0</v>
      </c>
      <c r="K11" s="676">
        <f>huishoudens!J8</f>
        <v>674.35703075983258</v>
      </c>
      <c r="L11" s="676">
        <f>huishoudens!K8</f>
        <v>0</v>
      </c>
      <c r="M11" s="676">
        <f>huishoudens!L8</f>
        <v>0</v>
      </c>
      <c r="N11" s="676">
        <f>huishoudens!M8</f>
        <v>0</v>
      </c>
      <c r="O11" s="676">
        <f>huishoudens!N8</f>
        <v>5317.4403734671887</v>
      </c>
      <c r="P11" s="676">
        <f>huishoudens!O8</f>
        <v>39.083333333333336</v>
      </c>
      <c r="Q11" s="677">
        <f>huishoudens!P8</f>
        <v>915.2</v>
      </c>
      <c r="R11" s="679">
        <f>SUM(C11:Q11)</f>
        <v>90952.567538423435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1675.9232481775421</v>
      </c>
      <c r="D13" s="676">
        <f>industrie!C18</f>
        <v>0</v>
      </c>
      <c r="E13" s="676">
        <f>industrie!D18</f>
        <v>1042.2990670690117</v>
      </c>
      <c r="F13" s="676">
        <f>industrie!E18</f>
        <v>13.357968838373488</v>
      </c>
      <c r="G13" s="676">
        <f>industrie!F18</f>
        <v>674.89114553194054</v>
      </c>
      <c r="H13" s="676">
        <f>industrie!G18</f>
        <v>0</v>
      </c>
      <c r="I13" s="676">
        <f>industrie!H18</f>
        <v>0</v>
      </c>
      <c r="J13" s="676">
        <f>industrie!I18</f>
        <v>0</v>
      </c>
      <c r="K13" s="676">
        <f>industrie!J18</f>
        <v>3.4333152396641813</v>
      </c>
      <c r="L13" s="676">
        <f>industrie!K18</f>
        <v>0</v>
      </c>
      <c r="M13" s="676">
        <f>industrie!L18</f>
        <v>0</v>
      </c>
      <c r="N13" s="676">
        <f>industrie!M18</f>
        <v>0</v>
      </c>
      <c r="O13" s="676">
        <f>industrie!N18</f>
        <v>73.871390245404967</v>
      </c>
      <c r="P13" s="676">
        <f>industrie!O18</f>
        <v>0</v>
      </c>
      <c r="Q13" s="677">
        <f>industrie!P18</f>
        <v>0</v>
      </c>
      <c r="R13" s="679">
        <f>SUM(C13:Q13)</f>
        <v>3483.7761351019371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41466.97417079829</v>
      </c>
      <c r="D16" s="709">
        <f t="shared" ref="D16:R16" ca="1" si="0">SUM(D9:D15)</f>
        <v>0</v>
      </c>
      <c r="E16" s="709">
        <f t="shared" ca="1" si="0"/>
        <v>41451.321797259137</v>
      </c>
      <c r="F16" s="709">
        <f t="shared" si="0"/>
        <v>1408.5648259660416</v>
      </c>
      <c r="G16" s="709">
        <f t="shared" ca="1" si="0"/>
        <v>41134.275212461383</v>
      </c>
      <c r="H16" s="709">
        <f t="shared" si="0"/>
        <v>0</v>
      </c>
      <c r="I16" s="709">
        <f t="shared" si="0"/>
        <v>0</v>
      </c>
      <c r="J16" s="709">
        <f t="shared" si="0"/>
        <v>0</v>
      </c>
      <c r="K16" s="709">
        <f t="shared" si="0"/>
        <v>677.79034599949671</v>
      </c>
      <c r="L16" s="709">
        <f t="shared" si="0"/>
        <v>0</v>
      </c>
      <c r="M16" s="709">
        <f t="shared" ca="1" si="0"/>
        <v>0</v>
      </c>
      <c r="N16" s="709">
        <f t="shared" si="0"/>
        <v>0</v>
      </c>
      <c r="O16" s="709">
        <f t="shared" ca="1" si="0"/>
        <v>6135.2831888671781</v>
      </c>
      <c r="P16" s="709">
        <f t="shared" si="0"/>
        <v>40.646666666666668</v>
      </c>
      <c r="Q16" s="709">
        <f t="shared" si="0"/>
        <v>934.26666666666677</v>
      </c>
      <c r="R16" s="709">
        <f t="shared" ca="1" si="0"/>
        <v>133249.12287468486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3.3780651514390749</v>
      </c>
      <c r="D19" s="676">
        <f>transport!C54</f>
        <v>0</v>
      </c>
      <c r="E19" s="676">
        <f>transport!D54</f>
        <v>0</v>
      </c>
      <c r="F19" s="676">
        <f>transport!E54</f>
        <v>0</v>
      </c>
      <c r="G19" s="676">
        <f>transport!F54</f>
        <v>0</v>
      </c>
      <c r="H19" s="676">
        <f>transport!G54</f>
        <v>673.76175453071926</v>
      </c>
      <c r="I19" s="676">
        <f>transport!H54</f>
        <v>0</v>
      </c>
      <c r="J19" s="676">
        <f>transport!I54</f>
        <v>0</v>
      </c>
      <c r="K19" s="676">
        <f>transport!J54</f>
        <v>0</v>
      </c>
      <c r="L19" s="676">
        <f>transport!K54</f>
        <v>0</v>
      </c>
      <c r="M19" s="676">
        <f>transport!L54</f>
        <v>0</v>
      </c>
      <c r="N19" s="676">
        <f>transport!M54</f>
        <v>29.779551953707937</v>
      </c>
      <c r="O19" s="676">
        <f>transport!N54</f>
        <v>0</v>
      </c>
      <c r="P19" s="676">
        <f>transport!O54</f>
        <v>0</v>
      </c>
      <c r="Q19" s="677">
        <f>transport!P54</f>
        <v>0</v>
      </c>
      <c r="R19" s="679">
        <f>SUM(C19:Q19)</f>
        <v>706.91937163586624</v>
      </c>
      <c r="S19" s="68"/>
    </row>
    <row r="20" spans="1:19" s="445" customFormat="1">
      <c r="A20" s="791" t="s">
        <v>302</v>
      </c>
      <c r="B20" s="796"/>
      <c r="C20" s="676">
        <f>transport!B14</f>
        <v>1.9222155861242043</v>
      </c>
      <c r="D20" s="676">
        <f>transport!C14</f>
        <v>0</v>
      </c>
      <c r="E20" s="676">
        <f>transport!D14</f>
        <v>2.412352602293979</v>
      </c>
      <c r="F20" s="676">
        <f>transport!E14</f>
        <v>154.22237262366139</v>
      </c>
      <c r="G20" s="676">
        <f>transport!F14</f>
        <v>0</v>
      </c>
      <c r="H20" s="676">
        <f>transport!G14</f>
        <v>36324.062704901626</v>
      </c>
      <c r="I20" s="676">
        <f>transport!H14</f>
        <v>5808.6237429471103</v>
      </c>
      <c r="J20" s="676">
        <f>transport!I14</f>
        <v>0</v>
      </c>
      <c r="K20" s="676">
        <f>transport!J14</f>
        <v>0</v>
      </c>
      <c r="L20" s="676">
        <f>transport!K14</f>
        <v>0</v>
      </c>
      <c r="M20" s="676">
        <f>transport!L14</f>
        <v>0</v>
      </c>
      <c r="N20" s="676">
        <f>transport!M14</f>
        <v>1882.3293055778122</v>
      </c>
      <c r="O20" s="676">
        <f>transport!N14</f>
        <v>0</v>
      </c>
      <c r="P20" s="676">
        <f>transport!O14</f>
        <v>0</v>
      </c>
      <c r="Q20" s="677">
        <f>transport!P14</f>
        <v>0</v>
      </c>
      <c r="R20" s="679">
        <f>SUM(C20:Q20)</f>
        <v>44173.572694238625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5.3002807375632788</v>
      </c>
      <c r="D22" s="794">
        <f t="shared" ref="D22:R22" si="1">SUM(D18:D21)</f>
        <v>0</v>
      </c>
      <c r="E22" s="794">
        <f t="shared" si="1"/>
        <v>2.412352602293979</v>
      </c>
      <c r="F22" s="794">
        <f t="shared" si="1"/>
        <v>154.22237262366139</v>
      </c>
      <c r="G22" s="794">
        <f t="shared" si="1"/>
        <v>0</v>
      </c>
      <c r="H22" s="794">
        <f t="shared" si="1"/>
        <v>36997.824459432348</v>
      </c>
      <c r="I22" s="794">
        <f t="shared" si="1"/>
        <v>5808.6237429471103</v>
      </c>
      <c r="J22" s="794">
        <f t="shared" si="1"/>
        <v>0</v>
      </c>
      <c r="K22" s="794">
        <f t="shared" si="1"/>
        <v>0</v>
      </c>
      <c r="L22" s="794">
        <f t="shared" si="1"/>
        <v>0</v>
      </c>
      <c r="M22" s="794">
        <f t="shared" si="1"/>
        <v>0</v>
      </c>
      <c r="N22" s="794">
        <f t="shared" si="1"/>
        <v>1912.1088575315202</v>
      </c>
      <c r="O22" s="794">
        <f t="shared" si="1"/>
        <v>0</v>
      </c>
      <c r="P22" s="794">
        <f t="shared" si="1"/>
        <v>0</v>
      </c>
      <c r="Q22" s="794">
        <f t="shared" si="1"/>
        <v>0</v>
      </c>
      <c r="R22" s="794">
        <f t="shared" si="1"/>
        <v>44880.492065874489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280.17626819705202</v>
      </c>
      <c r="D24" s="676">
        <f>+landbouw!C8</f>
        <v>0</v>
      </c>
      <c r="E24" s="676">
        <f>+landbouw!D8</f>
        <v>52.70011159063381</v>
      </c>
      <c r="F24" s="676">
        <f>+landbouw!E8</f>
        <v>2.6394481706738593</v>
      </c>
      <c r="G24" s="676">
        <f>+landbouw!F8</f>
        <v>914.3081454643833</v>
      </c>
      <c r="H24" s="676">
        <f>+landbouw!G8</f>
        <v>0</v>
      </c>
      <c r="I24" s="676">
        <f>+landbouw!H8</f>
        <v>0</v>
      </c>
      <c r="J24" s="676">
        <f>+landbouw!I8</f>
        <v>0</v>
      </c>
      <c r="K24" s="676">
        <f>+landbouw!J8</f>
        <v>34.659167153082073</v>
      </c>
      <c r="L24" s="676">
        <f>+landbouw!K8</f>
        <v>0</v>
      </c>
      <c r="M24" s="676">
        <f>+landbouw!L8</f>
        <v>0</v>
      </c>
      <c r="N24" s="676">
        <f>+landbouw!M8</f>
        <v>0</v>
      </c>
      <c r="O24" s="676">
        <f>+landbouw!N8</f>
        <v>0</v>
      </c>
      <c r="P24" s="676">
        <f>+landbouw!O8</f>
        <v>0</v>
      </c>
      <c r="Q24" s="677">
        <f>+landbouw!P8</f>
        <v>0</v>
      </c>
      <c r="R24" s="679">
        <f>SUM(C24:Q24)</f>
        <v>1284.483140575825</v>
      </c>
      <c r="S24" s="68"/>
    </row>
    <row r="25" spans="1:19" s="445" customFormat="1" ht="15" thickBot="1">
      <c r="A25" s="813" t="s">
        <v>879</v>
      </c>
      <c r="B25" s="979"/>
      <c r="C25" s="980">
        <f>IF(Onbekend_ele_kWh="---",0,Onbekend_ele_kWh)/1000+IF(REST_rest_ele_kWh="---",0,REST_rest_ele_kWh)/1000</f>
        <v>1190.1708163436599</v>
      </c>
      <c r="D25" s="980"/>
      <c r="E25" s="980">
        <f>IF(onbekend_gas_kWh="---",0,onbekend_gas_kWh)/1000+IF(REST_rest_gas_kWh="---",0,REST_rest_gas_kWh)/1000</f>
        <v>1302.0342534258</v>
      </c>
      <c r="F25" s="980"/>
      <c r="G25" s="980"/>
      <c r="H25" s="980"/>
      <c r="I25" s="980"/>
      <c r="J25" s="980"/>
      <c r="K25" s="980"/>
      <c r="L25" s="980"/>
      <c r="M25" s="980"/>
      <c r="N25" s="980"/>
      <c r="O25" s="980"/>
      <c r="P25" s="980"/>
      <c r="Q25" s="981"/>
      <c r="R25" s="679">
        <f>SUM(C25:Q25)</f>
        <v>2492.2050697694599</v>
      </c>
      <c r="S25" s="68"/>
    </row>
    <row r="26" spans="1:19" s="445" customFormat="1" ht="15.75" thickBot="1">
      <c r="A26" s="682" t="s">
        <v>880</v>
      </c>
      <c r="B26" s="799"/>
      <c r="C26" s="794">
        <f>SUM(C24:C25)</f>
        <v>1470.3470845407119</v>
      </c>
      <c r="D26" s="794">
        <f t="shared" ref="D26:R26" si="2">SUM(D24:D25)</f>
        <v>0</v>
      </c>
      <c r="E26" s="794">
        <f t="shared" si="2"/>
        <v>1354.7343650164339</v>
      </c>
      <c r="F26" s="794">
        <f t="shared" si="2"/>
        <v>2.6394481706738593</v>
      </c>
      <c r="G26" s="794">
        <f t="shared" si="2"/>
        <v>914.3081454643833</v>
      </c>
      <c r="H26" s="794">
        <f t="shared" si="2"/>
        <v>0</v>
      </c>
      <c r="I26" s="794">
        <f t="shared" si="2"/>
        <v>0</v>
      </c>
      <c r="J26" s="794">
        <f t="shared" si="2"/>
        <v>0</v>
      </c>
      <c r="K26" s="794">
        <f t="shared" si="2"/>
        <v>34.659167153082073</v>
      </c>
      <c r="L26" s="794">
        <f t="shared" si="2"/>
        <v>0</v>
      </c>
      <c r="M26" s="794">
        <f t="shared" si="2"/>
        <v>0</v>
      </c>
      <c r="N26" s="794">
        <f t="shared" si="2"/>
        <v>0</v>
      </c>
      <c r="O26" s="794">
        <f t="shared" si="2"/>
        <v>0</v>
      </c>
      <c r="P26" s="794">
        <f t="shared" si="2"/>
        <v>0</v>
      </c>
      <c r="Q26" s="794">
        <f t="shared" si="2"/>
        <v>0</v>
      </c>
      <c r="R26" s="794">
        <f t="shared" si="2"/>
        <v>3776.6882103452849</v>
      </c>
      <c r="S26" s="68"/>
    </row>
    <row r="27" spans="1:19" s="445" customFormat="1" ht="17.25" thickTop="1" thickBot="1">
      <c r="A27" s="683" t="s">
        <v>115</v>
      </c>
      <c r="B27" s="786"/>
      <c r="C27" s="684">
        <f ca="1">C22+C16+C26</f>
        <v>42942.621536076564</v>
      </c>
      <c r="D27" s="684">
        <f t="shared" ref="D27:R27" ca="1" si="3">D22+D16+D26</f>
        <v>0</v>
      </c>
      <c r="E27" s="684">
        <f t="shared" ca="1" si="3"/>
        <v>42808.468514877866</v>
      </c>
      <c r="F27" s="684">
        <f t="shared" si="3"/>
        <v>1565.4266467603768</v>
      </c>
      <c r="G27" s="684">
        <f t="shared" ca="1" si="3"/>
        <v>42048.583357925767</v>
      </c>
      <c r="H27" s="684">
        <f t="shared" si="3"/>
        <v>36997.824459432348</v>
      </c>
      <c r="I27" s="684">
        <f t="shared" si="3"/>
        <v>5808.6237429471103</v>
      </c>
      <c r="J27" s="684">
        <f t="shared" si="3"/>
        <v>0</v>
      </c>
      <c r="K27" s="684">
        <f t="shared" si="3"/>
        <v>712.44951315257879</v>
      </c>
      <c r="L27" s="684">
        <f t="shared" si="3"/>
        <v>0</v>
      </c>
      <c r="M27" s="684">
        <f t="shared" ca="1" si="3"/>
        <v>0</v>
      </c>
      <c r="N27" s="684">
        <f t="shared" si="3"/>
        <v>1912.1088575315202</v>
      </c>
      <c r="O27" s="684">
        <f t="shared" ca="1" si="3"/>
        <v>6135.2831888671781</v>
      </c>
      <c r="P27" s="684">
        <f t="shared" si="3"/>
        <v>40.646666666666668</v>
      </c>
      <c r="Q27" s="684">
        <f t="shared" si="3"/>
        <v>934.26666666666677</v>
      </c>
      <c r="R27" s="684">
        <f t="shared" ca="1" si="3"/>
        <v>181906.30315090463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3972.7329872633923</v>
      </c>
      <c r="D40" s="676">
        <f ca="1">tertiair!C20</f>
        <v>0</v>
      </c>
      <c r="E40" s="676">
        <f ca="1">tertiair!D20</f>
        <v>3285.9921166447671</v>
      </c>
      <c r="F40" s="676">
        <f>tertiair!E20</f>
        <v>39.985268040099143</v>
      </c>
      <c r="G40" s="676">
        <f ca="1">tertiair!F20</f>
        <v>879.43785963497226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8178.1482315832309</v>
      </c>
    </row>
    <row r="41" spans="1:18">
      <c r="A41" s="804" t="s">
        <v>220</v>
      </c>
      <c r="B41" s="811"/>
      <c r="C41" s="676">
        <f ca="1">huishoudens!B12</f>
        <v>4660.3012707909156</v>
      </c>
      <c r="D41" s="676">
        <f ca="1">huishoudens!C12</f>
        <v>0</v>
      </c>
      <c r="E41" s="676">
        <f>huishoudens!D12</f>
        <v>4876.6304748536386</v>
      </c>
      <c r="F41" s="676">
        <f>huishoudens!E12</f>
        <v>276.72668852788155</v>
      </c>
      <c r="G41" s="676">
        <f>huishoudens!F12</f>
        <v>9923.2176862351916</v>
      </c>
      <c r="H41" s="676">
        <f>huishoudens!G12</f>
        <v>0</v>
      </c>
      <c r="I41" s="676">
        <f>huishoudens!H12</f>
        <v>0</v>
      </c>
      <c r="J41" s="676">
        <f>huishoudens!I12</f>
        <v>0</v>
      </c>
      <c r="K41" s="676">
        <f>huishoudens!J12</f>
        <v>238.72238888898073</v>
      </c>
      <c r="L41" s="676">
        <f>huishoudens!K12</f>
        <v>0</v>
      </c>
      <c r="M41" s="676">
        <f>huishoudens!L12</f>
        <v>0</v>
      </c>
      <c r="N41" s="676">
        <f>huishoudens!M12</f>
        <v>0</v>
      </c>
      <c r="O41" s="676">
        <f>huishoudens!N12</f>
        <v>0</v>
      </c>
      <c r="P41" s="676">
        <f>huishoudens!O12</f>
        <v>0</v>
      </c>
      <c r="Q41" s="751">
        <f>huishoudens!P12</f>
        <v>0</v>
      </c>
      <c r="R41" s="832">
        <f t="shared" ca="1" si="4"/>
        <v>19975.598509296611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363.60695382290874</v>
      </c>
      <c r="D43" s="676">
        <f ca="1">industrie!C22</f>
        <v>0</v>
      </c>
      <c r="E43" s="676">
        <f>industrie!D22</f>
        <v>210.54441154794037</v>
      </c>
      <c r="F43" s="676">
        <f>industrie!E22</f>
        <v>3.032258926310782</v>
      </c>
      <c r="G43" s="676">
        <f>industrie!F22</f>
        <v>180.19593585702813</v>
      </c>
      <c r="H43" s="676">
        <f>industrie!G22</f>
        <v>0</v>
      </c>
      <c r="I43" s="676">
        <f>industrie!H22</f>
        <v>0</v>
      </c>
      <c r="J43" s="676">
        <f>industrie!I22</f>
        <v>0</v>
      </c>
      <c r="K43" s="676">
        <f>industrie!J22</f>
        <v>1.2153935948411201</v>
      </c>
      <c r="L43" s="676">
        <f>industrie!K22</f>
        <v>0</v>
      </c>
      <c r="M43" s="676">
        <f>industrie!L22</f>
        <v>0</v>
      </c>
      <c r="N43" s="676">
        <f>industrie!M22</f>
        <v>0</v>
      </c>
      <c r="O43" s="676">
        <f>industrie!N22</f>
        <v>0</v>
      </c>
      <c r="P43" s="676">
        <f>industrie!O22</f>
        <v>0</v>
      </c>
      <c r="Q43" s="751">
        <f>industrie!P22</f>
        <v>0</v>
      </c>
      <c r="R43" s="831">
        <f t="shared" ca="1" si="4"/>
        <v>758.59495374902917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8996.6412118772168</v>
      </c>
      <c r="D46" s="709">
        <f t="shared" ref="D46:Q46" ca="1" si="5">SUM(D39:D45)</f>
        <v>0</v>
      </c>
      <c r="E46" s="709">
        <f t="shared" ca="1" si="5"/>
        <v>8373.1670030463465</v>
      </c>
      <c r="F46" s="709">
        <f t="shared" si="5"/>
        <v>319.74421549429144</v>
      </c>
      <c r="G46" s="709">
        <f t="shared" ca="1" si="5"/>
        <v>10982.851481727192</v>
      </c>
      <c r="H46" s="709">
        <f t="shared" si="5"/>
        <v>0</v>
      </c>
      <c r="I46" s="709">
        <f t="shared" si="5"/>
        <v>0</v>
      </c>
      <c r="J46" s="709">
        <f t="shared" si="5"/>
        <v>0</v>
      </c>
      <c r="K46" s="709">
        <f t="shared" si="5"/>
        <v>239.93778248382185</v>
      </c>
      <c r="L46" s="709">
        <f t="shared" si="5"/>
        <v>0</v>
      </c>
      <c r="M46" s="709">
        <f t="shared" ca="1" si="5"/>
        <v>0</v>
      </c>
      <c r="N46" s="709">
        <f t="shared" si="5"/>
        <v>0</v>
      </c>
      <c r="O46" s="709">
        <f t="shared" ca="1" si="5"/>
        <v>0</v>
      </c>
      <c r="P46" s="709">
        <f t="shared" si="5"/>
        <v>0</v>
      </c>
      <c r="Q46" s="709">
        <f t="shared" si="5"/>
        <v>0</v>
      </c>
      <c r="R46" s="709">
        <f ca="1">SUM(R39:R45)</f>
        <v>28912.341694628871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0.73290228586885975</v>
      </c>
      <c r="D49" s="676">
        <f ca="1">transport!C58</f>
        <v>0</v>
      </c>
      <c r="E49" s="676">
        <f>transport!D58</f>
        <v>0</v>
      </c>
      <c r="F49" s="676">
        <f>transport!E58</f>
        <v>0</v>
      </c>
      <c r="G49" s="676">
        <f>transport!F58</f>
        <v>0</v>
      </c>
      <c r="H49" s="676">
        <f>transport!G58</f>
        <v>179.89438845970204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180.62729074557089</v>
      </c>
    </row>
    <row r="50" spans="1:18">
      <c r="A50" s="807" t="s">
        <v>302</v>
      </c>
      <c r="B50" s="817"/>
      <c r="C50" s="986">
        <f ca="1">transport!B18</f>
        <v>0.41704234046611688</v>
      </c>
      <c r="D50" s="986">
        <f>transport!C18</f>
        <v>0</v>
      </c>
      <c r="E50" s="986">
        <f>transport!D18</f>
        <v>0.48729522566338379</v>
      </c>
      <c r="F50" s="986">
        <f>transport!E18</f>
        <v>35.008478585571133</v>
      </c>
      <c r="G50" s="986">
        <f>transport!F18</f>
        <v>0</v>
      </c>
      <c r="H50" s="986">
        <f>transport!G18</f>
        <v>9698.5247422087341</v>
      </c>
      <c r="I50" s="986">
        <f>transport!H18</f>
        <v>1446.3473119938305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11180.784870354264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1.1499446263349766</v>
      </c>
      <c r="D52" s="709">
        <f t="shared" ref="D52:Q52" ca="1" si="6">SUM(D48:D51)</f>
        <v>0</v>
      </c>
      <c r="E52" s="709">
        <f t="shared" si="6"/>
        <v>0.48729522566338379</v>
      </c>
      <c r="F52" s="709">
        <f t="shared" si="6"/>
        <v>35.008478585571133</v>
      </c>
      <c r="G52" s="709">
        <f t="shared" si="6"/>
        <v>0</v>
      </c>
      <c r="H52" s="709">
        <f t="shared" si="6"/>
        <v>9878.419130668437</v>
      </c>
      <c r="I52" s="709">
        <f t="shared" si="6"/>
        <v>1446.3473119938305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11361.412161099835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60.78681677301261</v>
      </c>
      <c r="D54" s="986">
        <f ca="1">+landbouw!C12</f>
        <v>0</v>
      </c>
      <c r="E54" s="986">
        <f>+landbouw!D12</f>
        <v>10.645422541308029</v>
      </c>
      <c r="F54" s="986">
        <f>+landbouw!E12</f>
        <v>0.5991547347429661</v>
      </c>
      <c r="G54" s="986">
        <f>+landbouw!F12</f>
        <v>244.12027483899035</v>
      </c>
      <c r="H54" s="986">
        <f>+landbouw!G12</f>
        <v>0</v>
      </c>
      <c r="I54" s="986">
        <f>+landbouw!H12</f>
        <v>0</v>
      </c>
      <c r="J54" s="986">
        <f>+landbouw!I12</f>
        <v>0</v>
      </c>
      <c r="K54" s="986">
        <f>+landbouw!J12</f>
        <v>12.269345172191054</v>
      </c>
      <c r="L54" s="986">
        <f>+landbouw!K12</f>
        <v>0</v>
      </c>
      <c r="M54" s="986">
        <f>+landbouw!L12</f>
        <v>0</v>
      </c>
      <c r="N54" s="986">
        <f>+landbouw!M12</f>
        <v>0</v>
      </c>
      <c r="O54" s="986">
        <f>+landbouw!N12</f>
        <v>0</v>
      </c>
      <c r="P54" s="986">
        <f>+landbouw!O12</f>
        <v>0</v>
      </c>
      <c r="Q54" s="987">
        <f>+landbouw!P12</f>
        <v>0</v>
      </c>
      <c r="R54" s="708">
        <f ca="1">SUM(C54:Q54)</f>
        <v>328.421014060245</v>
      </c>
    </row>
    <row r="55" spans="1:18" ht="15" thickBot="1">
      <c r="A55" s="807" t="s">
        <v>879</v>
      </c>
      <c r="B55" s="817"/>
      <c r="C55" s="986">
        <f ca="1">C25*'EF ele_warmte'!B12</f>
        <v>258.21849868735643</v>
      </c>
      <c r="D55" s="986"/>
      <c r="E55" s="986">
        <f>E25*EF_CO2_aardgas</f>
        <v>263.01091919201161</v>
      </c>
      <c r="F55" s="986"/>
      <c r="G55" s="986"/>
      <c r="H55" s="986"/>
      <c r="I55" s="986"/>
      <c r="J55" s="986"/>
      <c r="K55" s="986"/>
      <c r="L55" s="986"/>
      <c r="M55" s="986"/>
      <c r="N55" s="986"/>
      <c r="O55" s="986"/>
      <c r="P55" s="986"/>
      <c r="Q55" s="987"/>
      <c r="R55" s="708">
        <f ca="1">SUM(C55:Q55)</f>
        <v>521.22941787936804</v>
      </c>
    </row>
    <row r="56" spans="1:18" ht="15.75" thickBot="1">
      <c r="A56" s="805" t="s">
        <v>880</v>
      </c>
      <c r="B56" s="818"/>
      <c r="C56" s="709">
        <f ca="1">SUM(C54:C55)</f>
        <v>319.00531546036905</v>
      </c>
      <c r="D56" s="709">
        <f t="shared" ref="D56:Q56" ca="1" si="7">SUM(D54:D55)</f>
        <v>0</v>
      </c>
      <c r="E56" s="709">
        <f t="shared" si="7"/>
        <v>273.65634173331966</v>
      </c>
      <c r="F56" s="709">
        <f t="shared" si="7"/>
        <v>0.5991547347429661</v>
      </c>
      <c r="G56" s="709">
        <f t="shared" si="7"/>
        <v>244.12027483899035</v>
      </c>
      <c r="H56" s="709">
        <f t="shared" si="7"/>
        <v>0</v>
      </c>
      <c r="I56" s="709">
        <f t="shared" si="7"/>
        <v>0</v>
      </c>
      <c r="J56" s="709">
        <f t="shared" si="7"/>
        <v>0</v>
      </c>
      <c r="K56" s="709">
        <f t="shared" si="7"/>
        <v>12.269345172191054</v>
      </c>
      <c r="L56" s="709">
        <f t="shared" si="7"/>
        <v>0</v>
      </c>
      <c r="M56" s="709">
        <f t="shared" si="7"/>
        <v>0</v>
      </c>
      <c r="N56" s="709">
        <f t="shared" si="7"/>
        <v>0</v>
      </c>
      <c r="O56" s="709">
        <f t="shared" si="7"/>
        <v>0</v>
      </c>
      <c r="P56" s="709">
        <f t="shared" si="7"/>
        <v>0</v>
      </c>
      <c r="Q56" s="710">
        <f t="shared" si="7"/>
        <v>0</v>
      </c>
      <c r="R56" s="711">
        <f ca="1">SUM(R54:R55)</f>
        <v>849.6504319396131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9316.7964719639203</v>
      </c>
      <c r="D61" s="717">
        <f t="shared" ref="D61:Q61" ca="1" si="8">D46+D52+D56</f>
        <v>0</v>
      </c>
      <c r="E61" s="717">
        <f t="shared" ca="1" si="8"/>
        <v>8647.3106400053293</v>
      </c>
      <c r="F61" s="717">
        <f t="shared" si="8"/>
        <v>355.35184881460555</v>
      </c>
      <c r="G61" s="717">
        <f t="shared" ca="1" si="8"/>
        <v>11226.971756566181</v>
      </c>
      <c r="H61" s="717">
        <f t="shared" si="8"/>
        <v>9878.419130668437</v>
      </c>
      <c r="I61" s="717">
        <f t="shared" si="8"/>
        <v>1446.3473119938305</v>
      </c>
      <c r="J61" s="717">
        <f t="shared" si="8"/>
        <v>0</v>
      </c>
      <c r="K61" s="717">
        <f t="shared" si="8"/>
        <v>252.20712765601291</v>
      </c>
      <c r="L61" s="717">
        <f t="shared" si="8"/>
        <v>0</v>
      </c>
      <c r="M61" s="717">
        <f t="shared" ca="1" si="8"/>
        <v>0</v>
      </c>
      <c r="N61" s="717">
        <f t="shared" si="8"/>
        <v>0</v>
      </c>
      <c r="O61" s="717">
        <f t="shared" ca="1" si="8"/>
        <v>0</v>
      </c>
      <c r="P61" s="717">
        <f t="shared" si="8"/>
        <v>0</v>
      </c>
      <c r="Q61" s="717">
        <f t="shared" si="8"/>
        <v>0</v>
      </c>
      <c r="R61" s="717">
        <f ca="1">R46+R52+R56</f>
        <v>41123.404287668316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0.21695919202642946</v>
      </c>
      <c r="D63" s="761">
        <f t="shared" ca="1" si="9"/>
        <v>0</v>
      </c>
      <c r="E63" s="988">
        <f t="shared" ca="1" si="9"/>
        <v>0.20200000000000001</v>
      </c>
      <c r="F63" s="761">
        <f t="shared" si="9"/>
        <v>0.22700000000000001</v>
      </c>
      <c r="G63" s="761">
        <f t="shared" ca="1" si="9"/>
        <v>0.26700000000000002</v>
      </c>
      <c r="H63" s="761">
        <f t="shared" si="9"/>
        <v>0.26700000000000002</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785.17143669231405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785.17143669231405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21480.08216320795</v>
      </c>
      <c r="C4" s="449">
        <f>huishoudens!C8</f>
        <v>0</v>
      </c>
      <c r="D4" s="449">
        <f>huishoudens!D8</f>
        <v>24141.735024027912</v>
      </c>
      <c r="E4" s="449">
        <f>huishoudens!E8</f>
        <v>1219.0603018849406</v>
      </c>
      <c r="F4" s="449">
        <f>huishoudens!F8</f>
        <v>37165.609311742286</v>
      </c>
      <c r="G4" s="449">
        <f>huishoudens!G8</f>
        <v>0</v>
      </c>
      <c r="H4" s="449">
        <f>huishoudens!H8</f>
        <v>0</v>
      </c>
      <c r="I4" s="449">
        <f>huishoudens!I8</f>
        <v>0</v>
      </c>
      <c r="J4" s="449">
        <f>huishoudens!J8</f>
        <v>674.35703075983258</v>
      </c>
      <c r="K4" s="449">
        <f>huishoudens!K8</f>
        <v>0</v>
      </c>
      <c r="L4" s="449">
        <f>huishoudens!L8</f>
        <v>0</v>
      </c>
      <c r="M4" s="449">
        <f>huishoudens!M8</f>
        <v>0</v>
      </c>
      <c r="N4" s="449">
        <f>huishoudens!N8</f>
        <v>5317.4403734671887</v>
      </c>
      <c r="O4" s="449">
        <f>huishoudens!O8</f>
        <v>39.083333333333336</v>
      </c>
      <c r="P4" s="450">
        <f>huishoudens!P8</f>
        <v>915.2</v>
      </c>
      <c r="Q4" s="451">
        <f>SUM(B4:P4)</f>
        <v>90952.567538423435</v>
      </c>
    </row>
    <row r="5" spans="1:17">
      <c r="A5" s="448" t="s">
        <v>155</v>
      </c>
      <c r="B5" s="449">
        <f ca="1">tertiair!B16</f>
        <v>17730.8197594128</v>
      </c>
      <c r="C5" s="449">
        <f ca="1">tertiair!C16</f>
        <v>0</v>
      </c>
      <c r="D5" s="449">
        <f ca="1">tertiair!D16</f>
        <v>16267.287706162213</v>
      </c>
      <c r="E5" s="449">
        <f>tertiair!E16</f>
        <v>176.14655524272749</v>
      </c>
      <c r="F5" s="449">
        <f ca="1">tertiair!F16</f>
        <v>3293.7747551871616</v>
      </c>
      <c r="G5" s="449">
        <f>tertiair!G16</f>
        <v>0</v>
      </c>
      <c r="H5" s="449">
        <f>tertiair!H16</f>
        <v>0</v>
      </c>
      <c r="I5" s="449">
        <f>tertiair!I16</f>
        <v>0</v>
      </c>
      <c r="J5" s="449">
        <f>tertiair!J16</f>
        <v>0</v>
      </c>
      <c r="K5" s="449">
        <f>tertiair!K16</f>
        <v>0</v>
      </c>
      <c r="L5" s="449">
        <f ca="1">tertiair!L16</f>
        <v>0</v>
      </c>
      <c r="M5" s="449">
        <f>tertiair!M16</f>
        <v>0</v>
      </c>
      <c r="N5" s="449">
        <f ca="1">tertiair!N16</f>
        <v>743.97142515458449</v>
      </c>
      <c r="O5" s="449">
        <f>tertiair!O16</f>
        <v>1.5633333333333335</v>
      </c>
      <c r="P5" s="450">
        <f>tertiair!P16</f>
        <v>19.066666666666666</v>
      </c>
      <c r="Q5" s="448">
        <f t="shared" ref="Q5:Q14" ca="1" si="0">SUM(B5:P5)</f>
        <v>38232.630201159474</v>
      </c>
    </row>
    <row r="6" spans="1:17">
      <c r="A6" s="448" t="s">
        <v>193</v>
      </c>
      <c r="B6" s="449">
        <f>'openbare verlichting'!B8</f>
        <v>580.149</v>
      </c>
      <c r="C6" s="449"/>
      <c r="D6" s="449"/>
      <c r="E6" s="449"/>
      <c r="F6" s="449"/>
      <c r="G6" s="449"/>
      <c r="H6" s="449"/>
      <c r="I6" s="449"/>
      <c r="J6" s="449"/>
      <c r="K6" s="449"/>
      <c r="L6" s="449"/>
      <c r="M6" s="449"/>
      <c r="N6" s="449"/>
      <c r="O6" s="449"/>
      <c r="P6" s="450"/>
      <c r="Q6" s="448">
        <f t="shared" si="0"/>
        <v>580.149</v>
      </c>
    </row>
    <row r="7" spans="1:17">
      <c r="A7" s="448" t="s">
        <v>111</v>
      </c>
      <c r="B7" s="449">
        <f>landbouw!B8</f>
        <v>280.17626819705202</v>
      </c>
      <c r="C7" s="449">
        <f>landbouw!C8</f>
        <v>0</v>
      </c>
      <c r="D7" s="449">
        <f>landbouw!D8</f>
        <v>52.70011159063381</v>
      </c>
      <c r="E7" s="449">
        <f>landbouw!E8</f>
        <v>2.6394481706738593</v>
      </c>
      <c r="F7" s="449">
        <f>landbouw!F8</f>
        <v>914.3081454643833</v>
      </c>
      <c r="G7" s="449">
        <f>landbouw!G8</f>
        <v>0</v>
      </c>
      <c r="H7" s="449">
        <f>landbouw!H8</f>
        <v>0</v>
      </c>
      <c r="I7" s="449">
        <f>landbouw!I8</f>
        <v>0</v>
      </c>
      <c r="J7" s="449">
        <f>landbouw!J8</f>
        <v>34.659167153082073</v>
      </c>
      <c r="K7" s="449">
        <f>landbouw!K8</f>
        <v>0</v>
      </c>
      <c r="L7" s="449">
        <f>landbouw!L8</f>
        <v>0</v>
      </c>
      <c r="M7" s="449">
        <f>landbouw!M8</f>
        <v>0</v>
      </c>
      <c r="N7" s="449">
        <f>landbouw!N8</f>
        <v>0</v>
      </c>
      <c r="O7" s="449">
        <f>landbouw!O8</f>
        <v>0</v>
      </c>
      <c r="P7" s="450">
        <f>landbouw!P8</f>
        <v>0</v>
      </c>
      <c r="Q7" s="448">
        <f t="shared" si="0"/>
        <v>1284.483140575825</v>
      </c>
    </row>
    <row r="8" spans="1:17">
      <c r="A8" s="448" t="s">
        <v>671</v>
      </c>
      <c r="B8" s="449">
        <f>industrie!B18</f>
        <v>1675.9232481775421</v>
      </c>
      <c r="C8" s="449">
        <f>industrie!C18</f>
        <v>0</v>
      </c>
      <c r="D8" s="449">
        <f>industrie!D18</f>
        <v>1042.2990670690117</v>
      </c>
      <c r="E8" s="449">
        <f>industrie!E18</f>
        <v>13.357968838373488</v>
      </c>
      <c r="F8" s="449">
        <f>industrie!F18</f>
        <v>674.89114553194054</v>
      </c>
      <c r="G8" s="449">
        <f>industrie!G18</f>
        <v>0</v>
      </c>
      <c r="H8" s="449">
        <f>industrie!H18</f>
        <v>0</v>
      </c>
      <c r="I8" s="449">
        <f>industrie!I18</f>
        <v>0</v>
      </c>
      <c r="J8" s="449">
        <f>industrie!J18</f>
        <v>3.4333152396641813</v>
      </c>
      <c r="K8" s="449">
        <f>industrie!K18</f>
        <v>0</v>
      </c>
      <c r="L8" s="449">
        <f>industrie!L18</f>
        <v>0</v>
      </c>
      <c r="M8" s="449">
        <f>industrie!M18</f>
        <v>0</v>
      </c>
      <c r="N8" s="449">
        <f>industrie!N18</f>
        <v>73.871390245404967</v>
      </c>
      <c r="O8" s="449">
        <f>industrie!O18</f>
        <v>0</v>
      </c>
      <c r="P8" s="450">
        <f>industrie!P18</f>
        <v>0</v>
      </c>
      <c r="Q8" s="448">
        <f t="shared" si="0"/>
        <v>3483.7761351019371</v>
      </c>
    </row>
    <row r="9" spans="1:17" s="454" customFormat="1">
      <c r="A9" s="452" t="s">
        <v>568</v>
      </c>
      <c r="B9" s="453">
        <f>transport!B14</f>
        <v>1.9222155861242043</v>
      </c>
      <c r="C9" s="453">
        <f>transport!C14</f>
        <v>0</v>
      </c>
      <c r="D9" s="453">
        <f>transport!D14</f>
        <v>2.412352602293979</v>
      </c>
      <c r="E9" s="453">
        <f>transport!E14</f>
        <v>154.22237262366139</v>
      </c>
      <c r="F9" s="453">
        <f>transport!F14</f>
        <v>0</v>
      </c>
      <c r="G9" s="453">
        <f>transport!G14</f>
        <v>36324.062704901626</v>
      </c>
      <c r="H9" s="453">
        <f>transport!H14</f>
        <v>5808.6237429471103</v>
      </c>
      <c r="I9" s="453">
        <f>transport!I14</f>
        <v>0</v>
      </c>
      <c r="J9" s="453">
        <f>transport!J14</f>
        <v>0</v>
      </c>
      <c r="K9" s="453">
        <f>transport!K14</f>
        <v>0</v>
      </c>
      <c r="L9" s="453">
        <f>transport!L14</f>
        <v>0</v>
      </c>
      <c r="M9" s="453">
        <f>transport!M14</f>
        <v>1882.3293055778122</v>
      </c>
      <c r="N9" s="453">
        <f>transport!N14</f>
        <v>0</v>
      </c>
      <c r="O9" s="453">
        <f>transport!O14</f>
        <v>0</v>
      </c>
      <c r="P9" s="453">
        <f>transport!P14</f>
        <v>0</v>
      </c>
      <c r="Q9" s="452">
        <f>SUM(B9:P9)</f>
        <v>44173.572694238625</v>
      </c>
    </row>
    <row r="10" spans="1:17">
      <c r="A10" s="448" t="s">
        <v>558</v>
      </c>
      <c r="B10" s="449">
        <f>transport!B54</f>
        <v>3.3780651514390749</v>
      </c>
      <c r="C10" s="449">
        <f>transport!C54</f>
        <v>0</v>
      </c>
      <c r="D10" s="449">
        <f>transport!D54</f>
        <v>0</v>
      </c>
      <c r="E10" s="449">
        <f>transport!E54</f>
        <v>0</v>
      </c>
      <c r="F10" s="449">
        <f>transport!F54</f>
        <v>0</v>
      </c>
      <c r="G10" s="449">
        <f>transport!G54</f>
        <v>673.76175453071926</v>
      </c>
      <c r="H10" s="449">
        <f>transport!H54</f>
        <v>0</v>
      </c>
      <c r="I10" s="449">
        <f>transport!I54</f>
        <v>0</v>
      </c>
      <c r="J10" s="449">
        <f>transport!J54</f>
        <v>0</v>
      </c>
      <c r="K10" s="449">
        <f>transport!K54</f>
        <v>0</v>
      </c>
      <c r="L10" s="449">
        <f>transport!L54</f>
        <v>0</v>
      </c>
      <c r="M10" s="449">
        <f>transport!M54</f>
        <v>29.779551953707937</v>
      </c>
      <c r="N10" s="449">
        <f>transport!N54</f>
        <v>0</v>
      </c>
      <c r="O10" s="449">
        <f>transport!O54</f>
        <v>0</v>
      </c>
      <c r="P10" s="450">
        <f>transport!P54</f>
        <v>0</v>
      </c>
      <c r="Q10" s="448">
        <f t="shared" si="0"/>
        <v>706.91937163586624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1190.1708163436599</v>
      </c>
      <c r="C14" s="456"/>
      <c r="D14" s="456">
        <f>'SEAP template'!E25</f>
        <v>1302.0342534258</v>
      </c>
      <c r="E14" s="456"/>
      <c r="F14" s="456"/>
      <c r="G14" s="456"/>
      <c r="H14" s="456"/>
      <c r="I14" s="456"/>
      <c r="J14" s="456"/>
      <c r="K14" s="456"/>
      <c r="L14" s="456"/>
      <c r="M14" s="456"/>
      <c r="N14" s="456"/>
      <c r="O14" s="456"/>
      <c r="P14" s="457"/>
      <c r="Q14" s="448">
        <f t="shared" si="0"/>
        <v>2492.2050697694599</v>
      </c>
    </row>
    <row r="15" spans="1:17" s="461" customFormat="1">
      <c r="A15" s="458" t="s">
        <v>562</v>
      </c>
      <c r="B15" s="459">
        <f ca="1">SUM(B4:B14)</f>
        <v>42942.621536076556</v>
      </c>
      <c r="C15" s="459">
        <f t="shared" ref="C15:Q15" ca="1" si="1">SUM(C4:C14)</f>
        <v>0</v>
      </c>
      <c r="D15" s="459">
        <f t="shared" ca="1" si="1"/>
        <v>42808.468514877866</v>
      </c>
      <c r="E15" s="459">
        <f t="shared" si="1"/>
        <v>1565.4266467603768</v>
      </c>
      <c r="F15" s="459">
        <f t="shared" ca="1" si="1"/>
        <v>42048.583357925767</v>
      </c>
      <c r="G15" s="459">
        <f t="shared" si="1"/>
        <v>36997.824459432348</v>
      </c>
      <c r="H15" s="459">
        <f t="shared" si="1"/>
        <v>5808.6237429471103</v>
      </c>
      <c r="I15" s="459">
        <f t="shared" si="1"/>
        <v>0</v>
      </c>
      <c r="J15" s="459">
        <f t="shared" si="1"/>
        <v>712.44951315257879</v>
      </c>
      <c r="K15" s="459">
        <f t="shared" si="1"/>
        <v>0</v>
      </c>
      <c r="L15" s="459">
        <f t="shared" ca="1" si="1"/>
        <v>0</v>
      </c>
      <c r="M15" s="459">
        <f t="shared" si="1"/>
        <v>1912.1088575315202</v>
      </c>
      <c r="N15" s="459">
        <f t="shared" ca="1" si="1"/>
        <v>6135.2831888671781</v>
      </c>
      <c r="O15" s="459">
        <f t="shared" si="1"/>
        <v>40.646666666666668</v>
      </c>
      <c r="P15" s="459">
        <f t="shared" si="1"/>
        <v>934.26666666666677</v>
      </c>
      <c r="Q15" s="459">
        <f t="shared" ca="1" si="1"/>
        <v>181906.30315090463</v>
      </c>
    </row>
    <row r="17" spans="1:17">
      <c r="A17" s="462" t="s">
        <v>563</v>
      </c>
      <c r="B17" s="766">
        <f ca="1">huishoudens!B10</f>
        <v>0.21695919202642946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4660.3012707909156</v>
      </c>
      <c r="C22" s="449">
        <f t="shared" ref="C22:C32" ca="1" si="3">C4*$C$17</f>
        <v>0</v>
      </c>
      <c r="D22" s="449">
        <f t="shared" ref="D22:D32" si="4">D4*$D$17</f>
        <v>4876.6304748536386</v>
      </c>
      <c r="E22" s="449">
        <f t="shared" ref="E22:E32" si="5">E4*$E$17</f>
        <v>276.72668852788155</v>
      </c>
      <c r="F22" s="449">
        <f t="shared" ref="F22:F32" si="6">F4*$F$17</f>
        <v>9923.2176862351916</v>
      </c>
      <c r="G22" s="449">
        <f t="shared" ref="G22:G32" si="7">G4*$G$17</f>
        <v>0</v>
      </c>
      <c r="H22" s="449">
        <f t="shared" ref="H22:H32" si="8">H4*$H$17</f>
        <v>0</v>
      </c>
      <c r="I22" s="449">
        <f t="shared" ref="I22:I32" si="9">I4*$I$17</f>
        <v>0</v>
      </c>
      <c r="J22" s="449">
        <f t="shared" ref="J22:J32" si="10">J4*$J$17</f>
        <v>238.72238888898073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19975.598509296611</v>
      </c>
    </row>
    <row r="23" spans="1:17">
      <c r="A23" s="448" t="s">
        <v>155</v>
      </c>
      <c r="B23" s="449">
        <f t="shared" ca="1" si="2"/>
        <v>3846.8643289684514</v>
      </c>
      <c r="C23" s="449">
        <f t="shared" ca="1" si="3"/>
        <v>0</v>
      </c>
      <c r="D23" s="449">
        <f t="shared" ca="1" si="4"/>
        <v>3285.9921166447671</v>
      </c>
      <c r="E23" s="449">
        <f t="shared" si="5"/>
        <v>39.985268040099143</v>
      </c>
      <c r="F23" s="449">
        <f t="shared" ca="1" si="6"/>
        <v>879.43785963497226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8052.2795732882905</v>
      </c>
    </row>
    <row r="24" spans="1:17">
      <c r="A24" s="448" t="s">
        <v>193</v>
      </c>
      <c r="B24" s="449">
        <f t="shared" ca="1" si="2"/>
        <v>125.86865829494103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125.86865829494103</v>
      </c>
    </row>
    <row r="25" spans="1:17">
      <c r="A25" s="448" t="s">
        <v>111</v>
      </c>
      <c r="B25" s="449">
        <f t="shared" ca="1" si="2"/>
        <v>60.78681677301261</v>
      </c>
      <c r="C25" s="449">
        <f t="shared" ca="1" si="3"/>
        <v>0</v>
      </c>
      <c r="D25" s="449">
        <f t="shared" si="4"/>
        <v>10.645422541308029</v>
      </c>
      <c r="E25" s="449">
        <f t="shared" si="5"/>
        <v>0.5991547347429661</v>
      </c>
      <c r="F25" s="449">
        <f t="shared" si="6"/>
        <v>244.12027483899035</v>
      </c>
      <c r="G25" s="449">
        <f t="shared" si="7"/>
        <v>0</v>
      </c>
      <c r="H25" s="449">
        <f t="shared" si="8"/>
        <v>0</v>
      </c>
      <c r="I25" s="449">
        <f t="shared" si="9"/>
        <v>0</v>
      </c>
      <c r="J25" s="449">
        <f t="shared" si="10"/>
        <v>12.269345172191054</v>
      </c>
      <c r="K25" s="449">
        <f t="shared" si="11"/>
        <v>0</v>
      </c>
      <c r="L25" s="449">
        <f t="shared" si="12"/>
        <v>0</v>
      </c>
      <c r="M25" s="449">
        <f t="shared" si="13"/>
        <v>0</v>
      </c>
      <c r="N25" s="449">
        <f t="shared" si="14"/>
        <v>0</v>
      </c>
      <c r="O25" s="449">
        <f t="shared" si="15"/>
        <v>0</v>
      </c>
      <c r="P25" s="450">
        <f t="shared" si="16"/>
        <v>0</v>
      </c>
      <c r="Q25" s="448">
        <f t="shared" ca="1" si="17"/>
        <v>328.421014060245</v>
      </c>
    </row>
    <row r="26" spans="1:17">
      <c r="A26" s="448" t="s">
        <v>671</v>
      </c>
      <c r="B26" s="449">
        <f t="shared" ca="1" si="2"/>
        <v>363.60695382290874</v>
      </c>
      <c r="C26" s="449">
        <f t="shared" ca="1" si="3"/>
        <v>0</v>
      </c>
      <c r="D26" s="449">
        <f t="shared" si="4"/>
        <v>210.54441154794037</v>
      </c>
      <c r="E26" s="449">
        <f t="shared" si="5"/>
        <v>3.032258926310782</v>
      </c>
      <c r="F26" s="449">
        <f t="shared" si="6"/>
        <v>180.19593585702813</v>
      </c>
      <c r="G26" s="449">
        <f t="shared" si="7"/>
        <v>0</v>
      </c>
      <c r="H26" s="449">
        <f t="shared" si="8"/>
        <v>0</v>
      </c>
      <c r="I26" s="449">
        <f t="shared" si="9"/>
        <v>0</v>
      </c>
      <c r="J26" s="449">
        <f t="shared" si="10"/>
        <v>1.2153935948411201</v>
      </c>
      <c r="K26" s="449">
        <f t="shared" si="11"/>
        <v>0</v>
      </c>
      <c r="L26" s="449">
        <f t="shared" si="12"/>
        <v>0</v>
      </c>
      <c r="M26" s="449">
        <f t="shared" si="13"/>
        <v>0</v>
      </c>
      <c r="N26" s="449">
        <f t="shared" si="14"/>
        <v>0</v>
      </c>
      <c r="O26" s="449">
        <f t="shared" si="15"/>
        <v>0</v>
      </c>
      <c r="P26" s="450">
        <f t="shared" si="16"/>
        <v>0</v>
      </c>
      <c r="Q26" s="448">
        <f t="shared" ca="1" si="17"/>
        <v>758.59495374902917</v>
      </c>
    </row>
    <row r="27" spans="1:17" s="454" customFormat="1">
      <c r="A27" s="452" t="s">
        <v>568</v>
      </c>
      <c r="B27" s="760">
        <f t="shared" ca="1" si="2"/>
        <v>0.41704234046611688</v>
      </c>
      <c r="C27" s="453">
        <f t="shared" ca="1" si="3"/>
        <v>0</v>
      </c>
      <c r="D27" s="453">
        <f t="shared" si="4"/>
        <v>0.48729522566338379</v>
      </c>
      <c r="E27" s="453">
        <f t="shared" si="5"/>
        <v>35.008478585571133</v>
      </c>
      <c r="F27" s="453">
        <f t="shared" si="6"/>
        <v>0</v>
      </c>
      <c r="G27" s="453">
        <f t="shared" si="7"/>
        <v>9698.5247422087341</v>
      </c>
      <c r="H27" s="453">
        <f t="shared" si="8"/>
        <v>1446.3473119938305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11180.784870354264</v>
      </c>
    </row>
    <row r="28" spans="1:17">
      <c r="A28" s="448" t="s">
        <v>558</v>
      </c>
      <c r="B28" s="449">
        <f t="shared" ca="1" si="2"/>
        <v>0.73290228586885975</v>
      </c>
      <c r="C28" s="449">
        <f t="shared" ca="1" si="3"/>
        <v>0</v>
      </c>
      <c r="D28" s="449">
        <f t="shared" si="4"/>
        <v>0</v>
      </c>
      <c r="E28" s="449">
        <f t="shared" si="5"/>
        <v>0</v>
      </c>
      <c r="F28" s="449">
        <f t="shared" si="6"/>
        <v>0</v>
      </c>
      <c r="G28" s="449">
        <f t="shared" si="7"/>
        <v>179.89438845970204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180.62729074557089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258.21849868735643</v>
      </c>
      <c r="C32" s="449">
        <f t="shared" ca="1" si="3"/>
        <v>0</v>
      </c>
      <c r="D32" s="449">
        <f t="shared" si="4"/>
        <v>263.01091919201161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521.22941787936804</v>
      </c>
    </row>
    <row r="33" spans="1:17" s="461" customFormat="1">
      <c r="A33" s="458" t="s">
        <v>562</v>
      </c>
      <c r="B33" s="459">
        <f ca="1">SUM(B22:B32)</f>
        <v>9316.7964719639203</v>
      </c>
      <c r="C33" s="459">
        <f t="shared" ref="C33:Q33" ca="1" si="18">SUM(C22:C32)</f>
        <v>0</v>
      </c>
      <c r="D33" s="459">
        <f t="shared" ca="1" si="18"/>
        <v>8647.3106400053275</v>
      </c>
      <c r="E33" s="459">
        <f t="shared" si="18"/>
        <v>355.35184881460555</v>
      </c>
      <c r="F33" s="459">
        <f t="shared" ca="1" si="18"/>
        <v>11226.971756566181</v>
      </c>
      <c r="G33" s="459">
        <f t="shared" si="18"/>
        <v>9878.419130668437</v>
      </c>
      <c r="H33" s="459">
        <f t="shared" si="18"/>
        <v>1446.3473119938305</v>
      </c>
      <c r="I33" s="459">
        <f t="shared" si="18"/>
        <v>0</v>
      </c>
      <c r="J33" s="459">
        <f t="shared" si="18"/>
        <v>252.20712765601291</v>
      </c>
      <c r="K33" s="459">
        <f t="shared" si="18"/>
        <v>0</v>
      </c>
      <c r="L33" s="459">
        <f t="shared" ca="1" si="18"/>
        <v>0</v>
      </c>
      <c r="M33" s="459">
        <f t="shared" si="18"/>
        <v>0</v>
      </c>
      <c r="N33" s="459">
        <f t="shared" ca="1" si="18"/>
        <v>0</v>
      </c>
      <c r="O33" s="459">
        <f t="shared" si="18"/>
        <v>0</v>
      </c>
      <c r="P33" s="459">
        <f t="shared" si="18"/>
        <v>0</v>
      </c>
      <c r="Q33" s="459">
        <f t="shared" ca="1" si="18"/>
        <v>41123.404287668323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785.17143669231405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785.17143669231405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0.21695919202642946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0.21695919202642946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0.21695919202642946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0.21695919202642946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3414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402</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23</v>
      </c>
      <c r="C17" s="327"/>
      <c r="D17" s="327"/>
      <c r="E17" s="327"/>
      <c r="F17" s="327"/>
    </row>
    <row r="18" spans="1:6">
      <c r="A18" s="1295" t="s">
        <v>8</v>
      </c>
      <c r="B18" s="1296">
        <v>15</v>
      </c>
      <c r="C18" s="327"/>
      <c r="D18" s="327"/>
      <c r="E18" s="327"/>
      <c r="F18" s="327"/>
    </row>
    <row r="19" spans="1:6">
      <c r="A19" s="1295" t="s">
        <v>9</v>
      </c>
      <c r="B19" s="1296">
        <v>26</v>
      </c>
      <c r="C19" s="327"/>
      <c r="D19" s="327"/>
      <c r="E19" s="327"/>
      <c r="F19" s="327"/>
    </row>
    <row r="20" spans="1:6">
      <c r="A20" s="1295" t="s">
        <v>10</v>
      </c>
      <c r="B20" s="1296">
        <v>22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11</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55</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21414.896586598399</v>
      </c>
    </row>
    <row r="39" spans="1:6">
      <c r="A39" s="1295" t="s">
        <v>29</v>
      </c>
      <c r="B39" s="1295" t="s">
        <v>30</v>
      </c>
      <c r="C39" s="1296">
        <v>1076</v>
      </c>
      <c r="D39" s="1296">
        <v>26764672.975640699</v>
      </c>
      <c r="E39" s="1296">
        <v>3087</v>
      </c>
      <c r="F39" s="1296">
        <v>20744857.991232399</v>
      </c>
    </row>
    <row r="40" spans="1:6">
      <c r="A40" s="1295" t="s">
        <v>29</v>
      </c>
      <c r="B40" s="1295" t="s">
        <v>28</v>
      </c>
      <c r="C40" s="1296">
        <v>0</v>
      </c>
      <c r="D40" s="1296">
        <v>0</v>
      </c>
      <c r="E40" s="1296">
        <v>0</v>
      </c>
      <c r="F40" s="1296">
        <v>0</v>
      </c>
    </row>
    <row r="41" spans="1:6">
      <c r="A41" s="1295" t="s">
        <v>31</v>
      </c>
      <c r="B41" s="1295" t="s">
        <v>32</v>
      </c>
      <c r="C41" s="1296">
        <v>9</v>
      </c>
      <c r="D41" s="1296">
        <v>99422.533541642901</v>
      </c>
      <c r="E41" s="1296">
        <v>54</v>
      </c>
      <c r="F41" s="1296">
        <v>629937.39814435795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24</v>
      </c>
      <c r="D48" s="1296">
        <v>1056119.6694173501</v>
      </c>
      <c r="E48" s="1296">
        <v>54</v>
      </c>
      <c r="F48" s="1296">
        <v>670591.47445067996</v>
      </c>
    </row>
    <row r="49" spans="1:6">
      <c r="A49" s="1295" t="s">
        <v>31</v>
      </c>
      <c r="B49" s="1295" t="s">
        <v>39</v>
      </c>
      <c r="C49" s="1296">
        <v>0</v>
      </c>
      <c r="D49" s="1296">
        <v>0</v>
      </c>
      <c r="E49" s="1296">
        <v>0</v>
      </c>
      <c r="F49" s="1296">
        <v>0</v>
      </c>
    </row>
    <row r="50" spans="1:6">
      <c r="A50" s="1295" t="s">
        <v>31</v>
      </c>
      <c r="B50" s="1295" t="s">
        <v>40</v>
      </c>
      <c r="C50" s="1296">
        <v>0</v>
      </c>
      <c r="D50" s="1296">
        <v>0</v>
      </c>
      <c r="E50" s="1296">
        <v>4</v>
      </c>
      <c r="F50" s="1296">
        <v>375394.37558250403</v>
      </c>
    </row>
    <row r="51" spans="1:6">
      <c r="A51" s="1295" t="s">
        <v>41</v>
      </c>
      <c r="B51" s="1295" t="s">
        <v>42</v>
      </c>
      <c r="C51" s="1296">
        <v>0</v>
      </c>
      <c r="D51" s="1296">
        <v>0</v>
      </c>
      <c r="E51" s="1296">
        <v>13</v>
      </c>
      <c r="F51" s="1296">
        <v>177152.52036509701</v>
      </c>
    </row>
    <row r="52" spans="1:6">
      <c r="A52" s="1295" t="s">
        <v>41</v>
      </c>
      <c r="B52" s="1295" t="s">
        <v>28</v>
      </c>
      <c r="C52" s="1296">
        <v>2</v>
      </c>
      <c r="D52" s="1296">
        <v>58425.844335514201</v>
      </c>
      <c r="E52" s="1296">
        <v>12</v>
      </c>
      <c r="F52" s="1296">
        <v>103023.747831955</v>
      </c>
    </row>
    <row r="53" spans="1:6">
      <c r="A53" s="1295" t="s">
        <v>43</v>
      </c>
      <c r="B53" s="1295" t="s">
        <v>44</v>
      </c>
      <c r="C53" s="1296">
        <v>44</v>
      </c>
      <c r="D53" s="1296">
        <v>1302034.2534258</v>
      </c>
      <c r="E53" s="1296">
        <v>115</v>
      </c>
      <c r="F53" s="1296">
        <v>1190170.81634366</v>
      </c>
    </row>
    <row r="54" spans="1:6">
      <c r="A54" s="1295" t="s">
        <v>45</v>
      </c>
      <c r="B54" s="1295" t="s">
        <v>46</v>
      </c>
      <c r="C54" s="1296">
        <v>0</v>
      </c>
      <c r="D54" s="1296">
        <v>0</v>
      </c>
      <c r="E54" s="1296">
        <v>2</v>
      </c>
      <c r="F54" s="1296">
        <v>580149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210128.86676402701</v>
      </c>
      <c r="E57" s="1296">
        <v>38</v>
      </c>
      <c r="F57" s="1296">
        <v>804243.28670492396</v>
      </c>
    </row>
    <row r="58" spans="1:6">
      <c r="A58" s="1295" t="s">
        <v>48</v>
      </c>
      <c r="B58" s="1295" t="s">
        <v>50</v>
      </c>
      <c r="C58" s="1296">
        <v>15</v>
      </c>
      <c r="D58" s="1296">
        <v>902478.92968691699</v>
      </c>
      <c r="E58" s="1296">
        <v>42</v>
      </c>
      <c r="F58" s="1296">
        <v>799019.325022278</v>
      </c>
    </row>
    <row r="59" spans="1:6">
      <c r="A59" s="1295" t="s">
        <v>48</v>
      </c>
      <c r="B59" s="1295" t="s">
        <v>51</v>
      </c>
      <c r="C59" s="1296">
        <v>42</v>
      </c>
      <c r="D59" s="1296">
        <v>2299070.4855177701</v>
      </c>
      <c r="E59" s="1296">
        <v>145</v>
      </c>
      <c r="F59" s="1296">
        <v>3550526.8540457399</v>
      </c>
    </row>
    <row r="60" spans="1:6">
      <c r="A60" s="1295" t="s">
        <v>48</v>
      </c>
      <c r="B60" s="1295" t="s">
        <v>52</v>
      </c>
      <c r="C60" s="1296">
        <v>31</v>
      </c>
      <c r="D60" s="1296">
        <v>2508670.0607509799</v>
      </c>
      <c r="E60" s="1296">
        <v>70</v>
      </c>
      <c r="F60" s="1296">
        <v>2033353.9739335701</v>
      </c>
    </row>
    <row r="61" spans="1:6">
      <c r="A61" s="1295" t="s">
        <v>48</v>
      </c>
      <c r="B61" s="1295" t="s">
        <v>53</v>
      </c>
      <c r="C61" s="1296">
        <v>153</v>
      </c>
      <c r="D61" s="1296">
        <v>6002915.3504002299</v>
      </c>
      <c r="E61" s="1296">
        <v>456</v>
      </c>
      <c r="F61" s="1296">
        <v>6551434.5148406802</v>
      </c>
    </row>
    <row r="62" spans="1:6">
      <c r="A62" s="1295" t="s">
        <v>48</v>
      </c>
      <c r="B62" s="1295" t="s">
        <v>54</v>
      </c>
      <c r="C62" s="1296">
        <v>0</v>
      </c>
      <c r="D62" s="1296">
        <v>0</v>
      </c>
      <c r="E62" s="1296">
        <v>4</v>
      </c>
      <c r="F62" s="1296">
        <v>138053.38912765801</v>
      </c>
    </row>
    <row r="63" spans="1:6">
      <c r="A63" s="1295" t="s">
        <v>48</v>
      </c>
      <c r="B63" s="1295" t="s">
        <v>28</v>
      </c>
      <c r="C63" s="1296">
        <v>132</v>
      </c>
      <c r="D63" s="1296">
        <v>6111423.3425366301</v>
      </c>
      <c r="E63" s="1296">
        <v>165</v>
      </c>
      <c r="F63" s="1296">
        <v>3854188.4157379498</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38350139</v>
      </c>
      <c r="E73" s="447"/>
      <c r="F73" s="327"/>
    </row>
    <row r="74" spans="1:6">
      <c r="A74" s="1295" t="s">
        <v>63</v>
      </c>
      <c r="B74" s="1295" t="s">
        <v>755</v>
      </c>
      <c r="C74" s="1309" t="s">
        <v>749</v>
      </c>
      <c r="D74" s="1310">
        <v>4058560.1157206241</v>
      </c>
      <c r="E74" s="447"/>
      <c r="F74" s="327"/>
    </row>
    <row r="75" spans="1:6">
      <c r="A75" s="1295" t="s">
        <v>64</v>
      </c>
      <c r="B75" s="1295" t="s">
        <v>754</v>
      </c>
      <c r="C75" s="1309" t="s">
        <v>750</v>
      </c>
      <c r="D75" s="1310">
        <v>8654388</v>
      </c>
      <c r="E75" s="447"/>
      <c r="F75" s="327"/>
    </row>
    <row r="76" spans="1:6">
      <c r="A76" s="1295" t="s">
        <v>64</v>
      </c>
      <c r="B76" s="1295" t="s">
        <v>755</v>
      </c>
      <c r="C76" s="1309" t="s">
        <v>751</v>
      </c>
      <c r="D76" s="1310">
        <v>499491.1157206241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186107.76855875176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735.2241719755516</v>
      </c>
      <c r="C91" s="327"/>
      <c r="D91" s="327"/>
      <c r="E91" s="327"/>
      <c r="F91" s="327"/>
    </row>
    <row r="92" spans="1:6">
      <c r="A92" s="1290" t="s">
        <v>68</v>
      </c>
      <c r="B92" s="1291">
        <v>49.947264716762433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510</v>
      </c>
      <c r="C97" s="327"/>
      <c r="D97" s="327"/>
      <c r="E97" s="327"/>
      <c r="F97" s="327"/>
    </row>
    <row r="98" spans="1:6">
      <c r="A98" s="1295" t="s">
        <v>71</v>
      </c>
      <c r="B98" s="1296">
        <v>1</v>
      </c>
      <c r="C98" s="327"/>
      <c r="D98" s="327"/>
      <c r="E98" s="327"/>
      <c r="F98" s="327"/>
    </row>
    <row r="99" spans="1:6">
      <c r="A99" s="1295" t="s">
        <v>72</v>
      </c>
      <c r="B99" s="1296">
        <v>50</v>
      </c>
      <c r="C99" s="327"/>
      <c r="D99" s="327"/>
      <c r="E99" s="327"/>
      <c r="F99" s="327"/>
    </row>
    <row r="100" spans="1:6">
      <c r="A100" s="1295" t="s">
        <v>73</v>
      </c>
      <c r="B100" s="1296">
        <v>478</v>
      </c>
      <c r="C100" s="327"/>
      <c r="D100" s="327"/>
      <c r="E100" s="327"/>
      <c r="F100" s="327"/>
    </row>
    <row r="101" spans="1:6">
      <c r="A101" s="1295" t="s">
        <v>74</v>
      </c>
      <c r="B101" s="1296">
        <v>15</v>
      </c>
      <c r="C101" s="327"/>
      <c r="D101" s="327"/>
      <c r="E101" s="327"/>
      <c r="F101" s="327"/>
    </row>
    <row r="102" spans="1:6">
      <c r="A102" s="1295" t="s">
        <v>75</v>
      </c>
      <c r="B102" s="1296">
        <v>62</v>
      </c>
      <c r="C102" s="327"/>
      <c r="D102" s="327"/>
      <c r="E102" s="327"/>
      <c r="F102" s="327"/>
    </row>
    <row r="103" spans="1:6">
      <c r="A103" s="1295" t="s">
        <v>76</v>
      </c>
      <c r="B103" s="1296">
        <v>53</v>
      </c>
      <c r="C103" s="327"/>
      <c r="D103" s="327"/>
      <c r="E103" s="327"/>
      <c r="F103" s="327"/>
    </row>
    <row r="104" spans="1:6">
      <c r="A104" s="1295" t="s">
        <v>77</v>
      </c>
      <c r="B104" s="1296">
        <v>2024</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42</v>
      </c>
      <c r="C123" s="1296">
        <v>2</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22</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42942.621536076564</v>
      </c>
      <c r="C3" s="44" t="s">
        <v>169</v>
      </c>
      <c r="D3" s="44"/>
      <c r="E3" s="157"/>
      <c r="F3" s="44"/>
      <c r="G3" s="44"/>
      <c r="H3" s="44"/>
      <c r="I3" s="44"/>
      <c r="J3" s="44"/>
      <c r="K3" s="97"/>
    </row>
    <row r="4" spans="1:11">
      <c r="A4" s="354" t="s">
        <v>170</v>
      </c>
      <c r="B4" s="50">
        <f>IF(ISERROR('SEAP template'!B78+'SEAP template'!C78),0,'SEAP template'!B78+'SEAP template'!C78)</f>
        <v>785.17143669231405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0.21695919202642946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580.149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580.149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0.21695919202642946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125.86865829494103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20744.857991232398</v>
      </c>
      <c r="C5" s="18">
        <f>IF(ISERROR('Eigen informatie GS &amp; warmtenet'!B57),0,'Eigen informatie GS &amp; warmtenet'!B57)</f>
        <v>0</v>
      </c>
      <c r="D5" s="31">
        <f>(SUM(HH_hh_gas_kWh,HH_rest_gas_kWh)/1000)*0.902</f>
        <v>24141.735024027912</v>
      </c>
      <c r="E5" s="18">
        <f>B32*B41</f>
        <v>1219.0603018849406</v>
      </c>
      <c r="F5" s="18">
        <f>B36*B45</f>
        <v>37165.609311742286</v>
      </c>
      <c r="G5" s="19"/>
      <c r="H5" s="18"/>
      <c r="I5" s="18"/>
      <c r="J5" s="18">
        <f>B35*B44+C35*C44</f>
        <v>674.35703075983258</v>
      </c>
      <c r="K5" s="18"/>
      <c r="L5" s="18"/>
      <c r="M5" s="18"/>
      <c r="N5" s="18">
        <f>B34*B43+C34*C43</f>
        <v>5317.4403734671887</v>
      </c>
      <c r="O5" s="18">
        <f>B52*B53*B54</f>
        <v>39.083333333333336</v>
      </c>
      <c r="P5" s="18">
        <f>B60*B61*B62/1000-B60*B61*B62/1000/B63</f>
        <v>915.2</v>
      </c>
    </row>
    <row r="6" spans="1:16">
      <c r="A6" s="17" t="s">
        <v>628</v>
      </c>
      <c r="B6" s="768">
        <f>kWh_PV_kleiner_dan_10kW</f>
        <v>735.2241719755516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21480.08216320795</v>
      </c>
      <c r="C8" s="22">
        <f>C5</f>
        <v>0</v>
      </c>
      <c r="D8" s="22">
        <f>D5</f>
        <v>24141.735024027912</v>
      </c>
      <c r="E8" s="22">
        <f>E5</f>
        <v>1219.0603018849406</v>
      </c>
      <c r="F8" s="22">
        <f>F5</f>
        <v>37165.609311742286</v>
      </c>
      <c r="G8" s="22"/>
      <c r="H8" s="22"/>
      <c r="I8" s="22"/>
      <c r="J8" s="22">
        <f>J5</f>
        <v>674.35703075983258</v>
      </c>
      <c r="K8" s="22"/>
      <c r="L8" s="22">
        <f>L5</f>
        <v>0</v>
      </c>
      <c r="M8" s="22">
        <f>M5</f>
        <v>0</v>
      </c>
      <c r="N8" s="22">
        <f>N5</f>
        <v>5317.4403734671887</v>
      </c>
      <c r="O8" s="22">
        <f>O5</f>
        <v>39.083333333333336</v>
      </c>
      <c r="P8" s="22">
        <f>P5</f>
        <v>915.2</v>
      </c>
    </row>
    <row r="9" spans="1:16">
      <c r="B9" s="20"/>
      <c r="C9" s="20"/>
      <c r="D9" s="258"/>
      <c r="E9" s="20"/>
      <c r="F9" s="20"/>
      <c r="G9" s="20"/>
      <c r="H9" s="20"/>
      <c r="I9" s="20"/>
      <c r="J9" s="20"/>
      <c r="K9" s="20"/>
      <c r="L9" s="20"/>
      <c r="M9" s="20"/>
      <c r="N9" s="20"/>
      <c r="O9" s="20"/>
      <c r="P9" s="20"/>
    </row>
    <row r="10" spans="1:16">
      <c r="A10" s="25" t="s">
        <v>213</v>
      </c>
      <c r="B10" s="26">
        <f ca="1">'EF ele_warmte'!B12</f>
        <v>0.21695919202642946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4660.3012707909156</v>
      </c>
      <c r="C12" s="24">
        <f ca="1">C10*C8</f>
        <v>0</v>
      </c>
      <c r="D12" s="24">
        <f>D8*D10</f>
        <v>4876.6304748536386</v>
      </c>
      <c r="E12" s="24">
        <f>E10*E8</f>
        <v>276.72668852788155</v>
      </c>
      <c r="F12" s="24">
        <f>F10*F8</f>
        <v>9923.2176862351916</v>
      </c>
      <c r="G12" s="24"/>
      <c r="H12" s="24"/>
      <c r="I12" s="24"/>
      <c r="J12" s="24">
        <f>J10*J8</f>
        <v>238.72238888898073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3414</v>
      </c>
      <c r="C26" s="37"/>
      <c r="D26" s="228"/>
    </row>
    <row r="27" spans="1:5" s="16" customFormat="1">
      <c r="A27" s="230" t="s">
        <v>654</v>
      </c>
      <c r="B27" s="38">
        <f>SUM(HH_hh_gas_aantal,HH_rest_gas_aantal)</f>
        <v>1076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1022.2</v>
      </c>
      <c r="C31" s="35" t="s">
        <v>110</v>
      </c>
      <c r="D31" s="174"/>
    </row>
    <row r="32" spans="1:5">
      <c r="A32" s="171" t="s">
        <v>72</v>
      </c>
      <c r="B32" s="34">
        <f>IF((B21*($B$26-($B$27-0.05*$B$27)-$B$60))&lt;0,0,B21*($B$26-($B$27-0.05*$B$27)-$B$60))</f>
        <v>57.599659786142681</v>
      </c>
      <c r="C32" s="35" t="s">
        <v>110</v>
      </c>
      <c r="D32" s="174"/>
    </row>
    <row r="33" spans="1:6">
      <c r="A33" s="171" t="s">
        <v>73</v>
      </c>
      <c r="B33" s="34">
        <f>IF((B22*($B$26-($B$27-0.05*$B$27)-$B$60))&lt;0,0,B22*($B$26-($B$27-0.05*$B$27)-$B$60))</f>
        <v>387.71326551727958</v>
      </c>
      <c r="C33" s="35" t="s">
        <v>110</v>
      </c>
      <c r="D33" s="174"/>
    </row>
    <row r="34" spans="1:6">
      <c r="A34" s="171" t="s">
        <v>74</v>
      </c>
      <c r="B34" s="34">
        <f>IF((B24*($B$26-($B$27-0.05*$B$27)-$B$60))&lt;0,0,B24*($B$26-($B$27-0.05*$B$27)-$B$60))</f>
        <v>98.332256390327998</v>
      </c>
      <c r="C34" s="34">
        <f>B26*C24</f>
        <v>698.17094666221271</v>
      </c>
      <c r="D34" s="233"/>
    </row>
    <row r="35" spans="1:6">
      <c r="A35" s="171" t="s">
        <v>76</v>
      </c>
      <c r="B35" s="34">
        <f>IF((B19*($B$26-($B$27-0.05*$B$27)-$B$60))&lt;0,0,B19*($B$26-($B$27-0.05*$B$27)-$B$60))</f>
        <v>36.556821113242208</v>
      </c>
      <c r="C35" s="34">
        <f>B35/2</f>
        <v>18.278410556621104</v>
      </c>
      <c r="D35" s="233"/>
    </row>
    <row r="36" spans="1:6">
      <c r="A36" s="171" t="s">
        <v>77</v>
      </c>
      <c r="B36" s="34">
        <f>IF((B18*($B$26-($B$27-0.05*$B$27)-$B$60))&lt;0,0,B18*($B$26-($B$27-0.05*$B$27)-$B$60))</f>
        <v>1763.5979971930071</v>
      </c>
      <c r="C36" s="35" t="s">
        <v>110</v>
      </c>
      <c r="D36" s="174"/>
    </row>
    <row r="37" spans="1:6">
      <c r="A37" s="171" t="s">
        <v>78</v>
      </c>
      <c r="B37" s="34">
        <f>B60</f>
        <v>48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17730.8197594128</v>
      </c>
      <c r="C5" s="18">
        <f>IF(ISERROR('Eigen informatie GS &amp; warmtenet'!B58),0,'Eigen informatie GS &amp; warmtenet'!B58)</f>
        <v>0</v>
      </c>
      <c r="D5" s="31">
        <f>SUM(D6:D12)</f>
        <v>16267.287706162213</v>
      </c>
      <c r="E5" s="18">
        <f>SUM(E6:E12)</f>
        <v>176.14655524272749</v>
      </c>
      <c r="F5" s="18">
        <f>SUM(F6:F12)</f>
        <v>3293.7747551871616</v>
      </c>
      <c r="G5" s="19"/>
      <c r="H5" s="18"/>
      <c r="I5" s="18"/>
      <c r="J5" s="18">
        <f>SUM(J6:J12)</f>
        <v>0</v>
      </c>
      <c r="K5" s="18"/>
      <c r="L5" s="18"/>
      <c r="M5" s="18"/>
      <c r="N5" s="18">
        <f>SUM(N6:N12)</f>
        <v>743.97142515458449</v>
      </c>
      <c r="O5" s="18">
        <f>B38*B39*B40</f>
        <v>1.5633333333333335</v>
      </c>
      <c r="P5" s="18">
        <f>B46*B47*B48/1000-B46*B47*B48/1000/B49</f>
        <v>19.066666666666666</v>
      </c>
      <c r="R5" s="33"/>
    </row>
    <row r="6" spans="1:18">
      <c r="A6" s="33" t="s">
        <v>53</v>
      </c>
      <c r="B6" s="38">
        <f>B26</f>
        <v>6551.4345148406801</v>
      </c>
      <c r="C6" s="34"/>
      <c r="D6" s="38">
        <f>IF(ISERROR(TER_kantoor_gas_kWh/1000),0,TER_kantoor_gas_kWh/1000)*0.902</f>
        <v>5414.6296460610074</v>
      </c>
      <c r="E6" s="34">
        <f>$C$26*'E Balans VL '!I12/100/3.6*1000000</f>
        <v>10.752231856405885</v>
      </c>
      <c r="F6" s="34">
        <f>$C$26*('E Balans VL '!L12+'E Balans VL '!N12)/100/3.6*1000000</f>
        <v>772.25998241645812</v>
      </c>
      <c r="G6" s="35"/>
      <c r="H6" s="34"/>
      <c r="I6" s="34"/>
      <c r="J6" s="34">
        <f>$C$26*('E Balans VL '!D12+'E Balans VL '!E12)/100/3.6*1000000</f>
        <v>0</v>
      </c>
      <c r="K6" s="34"/>
      <c r="L6" s="34"/>
      <c r="M6" s="34"/>
      <c r="N6" s="34">
        <f>$C$26*'E Balans VL '!Y12/100/3.6*1000000</f>
        <v>1.3236863201413118</v>
      </c>
      <c r="O6" s="34"/>
      <c r="P6" s="34"/>
      <c r="R6" s="33"/>
    </row>
    <row r="7" spans="1:18">
      <c r="A7" s="33" t="s">
        <v>52</v>
      </c>
      <c r="B7" s="38">
        <f t="shared" ref="B7:B12" si="0">B27</f>
        <v>2033.3539739335702</v>
      </c>
      <c r="C7" s="34"/>
      <c r="D7" s="38">
        <f>IF(ISERROR(TER_horeca_gas_kWh/1000),0,TER_horeca_gas_kWh/1000)*0.902</f>
        <v>2262.8203947973843</v>
      </c>
      <c r="E7" s="34">
        <f>$C$27*'E Balans VL '!I9/100/3.6*1000000</f>
        <v>105.51635758293624</v>
      </c>
      <c r="F7" s="34">
        <f>$C$27*('E Balans VL '!L9+'E Balans VL '!N9)/100/3.6*1000000</f>
        <v>464.01285226059662</v>
      </c>
      <c r="G7" s="35"/>
      <c r="H7" s="34"/>
      <c r="I7" s="34"/>
      <c r="J7" s="34">
        <f>$C$27*('E Balans VL '!D9+'E Balans VL '!E9)/100/3.6*1000000</f>
        <v>0</v>
      </c>
      <c r="K7" s="34"/>
      <c r="L7" s="34"/>
      <c r="M7" s="34"/>
      <c r="N7" s="34">
        <f>$C$27*'E Balans VL '!Y9/100/3.6*1000000</f>
        <v>0.21472124782227339</v>
      </c>
      <c r="O7" s="34"/>
      <c r="P7" s="34"/>
      <c r="R7" s="33"/>
    </row>
    <row r="8" spans="1:18">
      <c r="A8" s="6" t="s">
        <v>51</v>
      </c>
      <c r="B8" s="38">
        <f t="shared" si="0"/>
        <v>3550.52685404574</v>
      </c>
      <c r="C8" s="34"/>
      <c r="D8" s="38">
        <f>IF(ISERROR(TER_handel_gas_kWh/1000),0,TER_handel_gas_kWh/1000)*0.902</f>
        <v>2073.7615779370285</v>
      </c>
      <c r="E8" s="34">
        <f>$C$28*'E Balans VL '!I13/100/3.6*1000000</f>
        <v>19.120023410797483</v>
      </c>
      <c r="F8" s="34">
        <f>$C$28*('E Balans VL '!L13+'E Balans VL '!N13)/100/3.6*1000000</f>
        <v>724.05793769489048</v>
      </c>
      <c r="G8" s="35"/>
      <c r="H8" s="34"/>
      <c r="I8" s="34"/>
      <c r="J8" s="34">
        <f>$C$28*('E Balans VL '!D13+'E Balans VL '!E13)/100/3.6*1000000</f>
        <v>0</v>
      </c>
      <c r="K8" s="34"/>
      <c r="L8" s="34"/>
      <c r="M8" s="34"/>
      <c r="N8" s="34">
        <f>$C$28*'E Balans VL '!Y13/100/3.6*1000000</f>
        <v>17.654895065657097</v>
      </c>
      <c r="O8" s="34"/>
      <c r="P8" s="34"/>
      <c r="R8" s="33"/>
    </row>
    <row r="9" spans="1:18">
      <c r="A9" s="33" t="s">
        <v>50</v>
      </c>
      <c r="B9" s="38">
        <f t="shared" si="0"/>
        <v>799.01932502227805</v>
      </c>
      <c r="C9" s="34"/>
      <c r="D9" s="38">
        <f>IF(ISERROR(TER_gezond_gas_kWh/1000),0,TER_gezond_gas_kWh/1000)*0.902</f>
        <v>814.03599457759913</v>
      </c>
      <c r="E9" s="34">
        <f>$C$29*'E Balans VL '!I10/100/3.6*1000000</f>
        <v>0.79183723750723667</v>
      </c>
      <c r="F9" s="34">
        <f>$C$29*('E Balans VL '!L10+'E Balans VL '!N10)/100/3.6*1000000</f>
        <v>277.2366749342504</v>
      </c>
      <c r="G9" s="35"/>
      <c r="H9" s="34"/>
      <c r="I9" s="34"/>
      <c r="J9" s="34">
        <f>$C$29*('E Balans VL '!D10+'E Balans VL '!E10)/100/3.6*1000000</f>
        <v>0</v>
      </c>
      <c r="K9" s="34"/>
      <c r="L9" s="34"/>
      <c r="M9" s="34"/>
      <c r="N9" s="34">
        <f>$C$29*'E Balans VL '!Y10/100/3.6*1000000</f>
        <v>6.8850803050046991</v>
      </c>
      <c r="O9" s="34"/>
      <c r="P9" s="34"/>
      <c r="R9" s="33"/>
    </row>
    <row r="10" spans="1:18">
      <c r="A10" s="33" t="s">
        <v>49</v>
      </c>
      <c r="B10" s="38">
        <f t="shared" si="0"/>
        <v>804.243286704924</v>
      </c>
      <c r="C10" s="34"/>
      <c r="D10" s="38">
        <f>IF(ISERROR(TER_ander_gas_kWh/1000),0,TER_ander_gas_kWh/1000)*0.902</f>
        <v>189.53623782115235</v>
      </c>
      <c r="E10" s="34">
        <f>$C$30*'E Balans VL '!I14/100/3.6*1000000</f>
        <v>6.5795138691675863</v>
      </c>
      <c r="F10" s="34">
        <f>$C$30*('E Balans VL '!L14+'E Balans VL '!N14)/100/3.6*1000000</f>
        <v>235.12799493225484</v>
      </c>
      <c r="G10" s="35"/>
      <c r="H10" s="34"/>
      <c r="I10" s="34"/>
      <c r="J10" s="34">
        <f>$C$30*('E Balans VL '!D14+'E Balans VL '!E14)/100/3.6*1000000</f>
        <v>0</v>
      </c>
      <c r="K10" s="34"/>
      <c r="L10" s="34"/>
      <c r="M10" s="34"/>
      <c r="N10" s="34">
        <f>$C$30*'E Balans VL '!Y14/100/3.6*1000000</f>
        <v>463.94285079319701</v>
      </c>
      <c r="O10" s="34"/>
      <c r="P10" s="34"/>
      <c r="R10" s="33"/>
    </row>
    <row r="11" spans="1:18">
      <c r="A11" s="33" t="s">
        <v>54</v>
      </c>
      <c r="B11" s="38">
        <f t="shared" si="0"/>
        <v>138.05338912765802</v>
      </c>
      <c r="C11" s="34"/>
      <c r="D11" s="38">
        <f>IF(ISERROR(TER_onderwijs_gas_kWh/1000),0,TER_onderwijs_gas_kWh/1000)*0.902</f>
        <v>0</v>
      </c>
      <c r="E11" s="34">
        <f>$C$31*'E Balans VL '!I11/100/3.6*1000000</f>
        <v>8.5090284007479478E-2</v>
      </c>
      <c r="F11" s="34">
        <f>$C$31*('E Balans VL '!L11+'E Balans VL '!N11)/100/3.6*1000000</f>
        <v>53.373675965737299</v>
      </c>
      <c r="G11" s="35"/>
      <c r="H11" s="34"/>
      <c r="I11" s="34"/>
      <c r="J11" s="34">
        <f>$C$31*('E Balans VL '!D11+'E Balans VL '!E11)/100/3.6*1000000</f>
        <v>0</v>
      </c>
      <c r="K11" s="34"/>
      <c r="L11" s="34"/>
      <c r="M11" s="34"/>
      <c r="N11" s="34">
        <f>$C$31*'E Balans VL '!Y11/100/3.6*1000000</f>
        <v>0.44905809062264707</v>
      </c>
      <c r="O11" s="34"/>
      <c r="P11" s="34"/>
      <c r="R11" s="33"/>
    </row>
    <row r="12" spans="1:18">
      <c r="A12" s="33" t="s">
        <v>255</v>
      </c>
      <c r="B12" s="38">
        <f t="shared" si="0"/>
        <v>3854.18841573795</v>
      </c>
      <c r="C12" s="34"/>
      <c r="D12" s="38">
        <f>IF(ISERROR(TER_rest_gas_kWh/1000),0,TER_rest_gas_kWh/1000)*0.902</f>
        <v>5512.5038549680403</v>
      </c>
      <c r="E12" s="34">
        <f>$C$32*'E Balans VL '!I8/100/3.6*1000000</f>
        <v>33.301501001905585</v>
      </c>
      <c r="F12" s="34">
        <f>$C$32*('E Balans VL '!L8+'E Balans VL '!N8)/100/3.6*1000000</f>
        <v>767.70563698297383</v>
      </c>
      <c r="G12" s="35"/>
      <c r="H12" s="34"/>
      <c r="I12" s="34"/>
      <c r="J12" s="34">
        <f>$C$32*('E Balans VL '!D8+'E Balans VL '!E8)/100/3.6*1000000</f>
        <v>0</v>
      </c>
      <c r="K12" s="34"/>
      <c r="L12" s="34"/>
      <c r="M12" s="34"/>
      <c r="N12" s="34">
        <f>$C$32*'E Balans VL '!Y8/100/3.6*1000000</f>
        <v>253.50113333213943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17730.8197594128</v>
      </c>
      <c r="C16" s="22">
        <f t="shared" ca="1" si="1"/>
        <v>0</v>
      </c>
      <c r="D16" s="22">
        <f t="shared" ca="1" si="1"/>
        <v>16267.287706162213</v>
      </c>
      <c r="E16" s="22">
        <f t="shared" si="1"/>
        <v>176.14655524272749</v>
      </c>
      <c r="F16" s="22">
        <f t="shared" ca="1" si="1"/>
        <v>3293.7747551871616</v>
      </c>
      <c r="G16" s="22">
        <f t="shared" si="1"/>
        <v>0</v>
      </c>
      <c r="H16" s="22">
        <f t="shared" si="1"/>
        <v>0</v>
      </c>
      <c r="I16" s="22">
        <f t="shared" si="1"/>
        <v>0</v>
      </c>
      <c r="J16" s="22">
        <f t="shared" si="1"/>
        <v>0</v>
      </c>
      <c r="K16" s="22">
        <f t="shared" si="1"/>
        <v>0</v>
      </c>
      <c r="L16" s="22">
        <f t="shared" ca="1" si="1"/>
        <v>0</v>
      </c>
      <c r="M16" s="22">
        <f t="shared" si="1"/>
        <v>0</v>
      </c>
      <c r="N16" s="22">
        <f t="shared" ca="1" si="1"/>
        <v>743.97142515458449</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0.21695919202642946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3846.8643289684514</v>
      </c>
      <c r="C20" s="24">
        <f t="shared" ref="C20:P20" ca="1" si="2">C16*C18</f>
        <v>0</v>
      </c>
      <c r="D20" s="24">
        <f t="shared" ca="1" si="2"/>
        <v>3285.9921166447671</v>
      </c>
      <c r="E20" s="24">
        <f t="shared" si="2"/>
        <v>39.985268040099143</v>
      </c>
      <c r="F20" s="24">
        <f t="shared" ca="1" si="2"/>
        <v>879.43785963497226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6551.4345148406801</v>
      </c>
      <c r="C26" s="40">
        <f>IF(ISERROR(B26*3.6/1000000/'E Balans VL '!Z12*100),0,B26*3.6/1000000/'E Balans VL '!Z12*100)</f>
        <v>0.1392132852032931</v>
      </c>
      <c r="D26" s="236" t="s">
        <v>691</v>
      </c>
      <c r="F26" s="6"/>
    </row>
    <row r="27" spans="1:18">
      <c r="A27" s="231" t="s">
        <v>52</v>
      </c>
      <c r="B27" s="34">
        <f>IF(ISERROR(TER_horeca_ele_kWh/1000),0,TER_horeca_ele_kWh/1000)</f>
        <v>2033.3539739335702</v>
      </c>
      <c r="C27" s="40">
        <f>IF(ISERROR(B27*3.6/1000000/'E Balans VL '!Z9*100),0,B27*3.6/1000000/'E Balans VL '!Z9*100)</f>
        <v>0.1600406816066634</v>
      </c>
      <c r="D27" s="236" t="s">
        <v>691</v>
      </c>
      <c r="F27" s="6"/>
    </row>
    <row r="28" spans="1:18">
      <c r="A28" s="171" t="s">
        <v>51</v>
      </c>
      <c r="B28" s="34">
        <f>IF(ISERROR(TER_handel_ele_kWh/1000),0,TER_handel_ele_kWh/1000)</f>
        <v>3550.52685404574</v>
      </c>
      <c r="C28" s="40">
        <f>IF(ISERROR(B28*3.6/1000000/'E Balans VL '!Z13*100),0,B28*3.6/1000000/'E Balans VL '!Z13*100)</f>
        <v>9.9452157348775438E-2</v>
      </c>
      <c r="D28" s="236" t="s">
        <v>691</v>
      </c>
      <c r="F28" s="6"/>
    </row>
    <row r="29" spans="1:18">
      <c r="A29" s="231" t="s">
        <v>50</v>
      </c>
      <c r="B29" s="34">
        <f>IF(ISERROR(TER_gezond_ele_kWh/1000),0,TER_gezond_ele_kWh/1000)</f>
        <v>799.01932502227805</v>
      </c>
      <c r="C29" s="40">
        <f>IF(ISERROR(B29*3.6/1000000/'E Balans VL '!Z10*100),0,B29*3.6/1000000/'E Balans VL '!Z10*100)</f>
        <v>0.10221873304165352</v>
      </c>
      <c r="D29" s="236" t="s">
        <v>691</v>
      </c>
      <c r="F29" s="6"/>
    </row>
    <row r="30" spans="1:18">
      <c r="A30" s="231" t="s">
        <v>49</v>
      </c>
      <c r="B30" s="34">
        <f>IF(ISERROR(TER_ander_ele_kWh/1000),0,TER_ander_ele_kWh/1000)</f>
        <v>804.243286704924</v>
      </c>
      <c r="C30" s="40">
        <f>IF(ISERROR(B30*3.6/1000000/'E Balans VL '!Z14*100),0,B30*3.6/1000000/'E Balans VL '!Z14*100)</f>
        <v>6.0150621173213521E-2</v>
      </c>
      <c r="D30" s="236" t="s">
        <v>691</v>
      </c>
      <c r="F30" s="6"/>
    </row>
    <row r="31" spans="1:18">
      <c r="A31" s="231" t="s">
        <v>54</v>
      </c>
      <c r="B31" s="34">
        <f>IF(ISERROR(TER_onderwijs_ele_kWh/1000),0,TER_onderwijs_ele_kWh/1000)</f>
        <v>138.05338912765802</v>
      </c>
      <c r="C31" s="40">
        <f>IF(ISERROR(B31*3.6/1000000/'E Balans VL '!Z11*100),0,B31*3.6/1000000/'E Balans VL '!Z11*100)</f>
        <v>2.9150151939152682E-2</v>
      </c>
      <c r="D31" s="236" t="s">
        <v>691</v>
      </c>
    </row>
    <row r="32" spans="1:18">
      <c r="A32" s="231" t="s">
        <v>255</v>
      </c>
      <c r="B32" s="34">
        <f>IF(ISERROR(TER_rest_ele_kWh/1000),0,TER_rest_ele_kWh/1000)</f>
        <v>3854.18841573795</v>
      </c>
      <c r="C32" s="40">
        <f>IF(ISERROR(B32*3.6/1000000/'E Balans VL '!Z8*100),0,B32*3.6/1000000/'E Balans VL '!Z8*100)</f>
        <v>3.1750542336253761E-2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1675.9232481775421</v>
      </c>
      <c r="C5" s="18">
        <f>IF(ISERROR('Eigen informatie GS &amp; warmtenet'!B59),0,'Eigen informatie GS &amp; warmtenet'!B59)</f>
        <v>0</v>
      </c>
      <c r="D5" s="31">
        <f>SUM(D6:D15)</f>
        <v>1042.2990670690117</v>
      </c>
      <c r="E5" s="18">
        <f>SUM(E6:E15)</f>
        <v>13.357968838373488</v>
      </c>
      <c r="F5" s="18">
        <f>SUM(F6:F15)</f>
        <v>674.89114553194054</v>
      </c>
      <c r="G5" s="19"/>
      <c r="H5" s="18"/>
      <c r="I5" s="18"/>
      <c r="J5" s="18">
        <f>SUM(J6:J15)</f>
        <v>3.4333152396641813</v>
      </c>
      <c r="K5" s="18"/>
      <c r="L5" s="18"/>
      <c r="M5" s="18"/>
      <c r="N5" s="18">
        <f>SUM(N6:N15)</f>
        <v>73.871390245404967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629.93739814435799</v>
      </c>
      <c r="C9" s="34"/>
      <c r="D9" s="38">
        <f>IF( ISERROR(IND_andere_gas_kWh/1000),0,IND_andere_gas_kWh/1000)*0.902</f>
        <v>89.67912525456191</v>
      </c>
      <c r="E9" s="34">
        <f>C31*'E Balans VL '!I19/100/3.6*1000000</f>
        <v>3.6411322976322431</v>
      </c>
      <c r="F9" s="34">
        <f>C31*'E Balans VL '!L19/100/3.6*1000000+C31*'E Balans VL '!N19/100/3.6*1000000</f>
        <v>501.14551161196977</v>
      </c>
      <c r="G9" s="35"/>
      <c r="H9" s="34"/>
      <c r="I9" s="34"/>
      <c r="J9" s="41">
        <f>C31*'E Balans VL '!D19/100/3.6*1000000+C31*'E Balans VL '!E19/100/3.6*1000000</f>
        <v>5.9585080718023438E-2</v>
      </c>
      <c r="K9" s="34"/>
      <c r="L9" s="34"/>
      <c r="M9" s="34"/>
      <c r="N9" s="34">
        <f>C31*'E Balans VL '!Y19/100/3.6*1000000</f>
        <v>47.727290945629797</v>
      </c>
      <c r="O9" s="34"/>
      <c r="P9" s="34"/>
      <c r="R9" s="33"/>
    </row>
    <row r="10" spans="1:18">
      <c r="A10" s="6" t="s">
        <v>40</v>
      </c>
      <c r="B10" s="38">
        <f t="shared" si="0"/>
        <v>375.39437558250404</v>
      </c>
      <c r="C10" s="34"/>
      <c r="D10" s="38">
        <f>IF( ISERROR(IND_voed_gas_kWh/1000),0,IND_voed_gas_kWh/1000)*0.902</f>
        <v>0</v>
      </c>
      <c r="E10" s="34">
        <f>C32*'E Balans VL '!I20/100/3.6*1000000</f>
        <v>3.6911088004652295</v>
      </c>
      <c r="F10" s="34">
        <f>C32*'E Balans VL '!L20/100/3.6*1000000+C32*'E Balans VL '!N20/100/3.6*1000000</f>
        <v>41.692445297728156</v>
      </c>
      <c r="G10" s="35"/>
      <c r="H10" s="34"/>
      <c r="I10" s="34"/>
      <c r="J10" s="41">
        <f>C32*'E Balans VL '!D20/100/3.6*1000000+C32*'E Balans VL '!E20/100/3.6*1000000</f>
        <v>1.4795996529626714E-3</v>
      </c>
      <c r="K10" s="34"/>
      <c r="L10" s="34"/>
      <c r="M10" s="34"/>
      <c r="N10" s="34">
        <f>C32*'E Balans VL '!Y20/100/3.6*1000000</f>
        <v>5.5587076817283165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670.59147445067993</v>
      </c>
      <c r="C15" s="34"/>
      <c r="D15" s="38">
        <f>IF( ISERROR(IND_rest_gas_kWh/1000),0,IND_rest_gas_kWh/1000)*0.902</f>
        <v>952.6199418144497</v>
      </c>
      <c r="E15" s="34">
        <f>C37*'E Balans VL '!I15/100/3.6*1000000</f>
        <v>6.0257277402760154</v>
      </c>
      <c r="F15" s="34">
        <f>C37*'E Balans VL '!L15/100/3.6*1000000+C37*'E Balans VL '!N15/100/3.6*1000000</f>
        <v>132.05318862224257</v>
      </c>
      <c r="G15" s="35"/>
      <c r="H15" s="34"/>
      <c r="I15" s="34"/>
      <c r="J15" s="41">
        <f>C37*'E Balans VL '!D15/100/3.6*1000000+C37*'E Balans VL '!E15/100/3.6*1000000</f>
        <v>3.3722505592931951</v>
      </c>
      <c r="K15" s="34"/>
      <c r="L15" s="34"/>
      <c r="M15" s="34"/>
      <c r="N15" s="34">
        <f>C37*'E Balans VL '!Y15/100/3.6*1000000</f>
        <v>20.585391618046856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1675.9232481775421</v>
      </c>
      <c r="C18" s="22">
        <f>C5+C16</f>
        <v>0</v>
      </c>
      <c r="D18" s="22">
        <f>MAX((D5+D16),0)</f>
        <v>1042.2990670690117</v>
      </c>
      <c r="E18" s="22">
        <f>MAX((E5+E16),0)</f>
        <v>13.357968838373488</v>
      </c>
      <c r="F18" s="22">
        <f>MAX((F5+F16),0)</f>
        <v>674.89114553194054</v>
      </c>
      <c r="G18" s="22"/>
      <c r="H18" s="22"/>
      <c r="I18" s="22"/>
      <c r="J18" s="22">
        <f>MAX((J5+J16),0)</f>
        <v>3.4333152396641813</v>
      </c>
      <c r="K18" s="22"/>
      <c r="L18" s="22">
        <f>MAX((L5+L16),0)</f>
        <v>0</v>
      </c>
      <c r="M18" s="22"/>
      <c r="N18" s="22">
        <f>MAX((N5+N16),0)</f>
        <v>73.871390245404967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0.21695919202642946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363.60695382290874</v>
      </c>
      <c r="C22" s="24">
        <f ca="1">C18*C20</f>
        <v>0</v>
      </c>
      <c r="D22" s="24">
        <f>D18*D20</f>
        <v>210.54441154794037</v>
      </c>
      <c r="E22" s="24">
        <f>E18*E20</f>
        <v>3.032258926310782</v>
      </c>
      <c r="F22" s="24">
        <f>F18*F20</f>
        <v>180.19593585702813</v>
      </c>
      <c r="G22" s="24"/>
      <c r="H22" s="24"/>
      <c r="I22" s="24"/>
      <c r="J22" s="24">
        <f>J18*J20</f>
        <v>1.2153935948411201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629.93739814435799</v>
      </c>
      <c r="C31" s="40">
        <f>IF(ISERROR(B31*3.6/1000000/'E Balans VL '!Z19*100),0,B31*3.6/1000000/'E Balans VL '!Z19*100)</f>
        <v>2.9284135233431315E-2</v>
      </c>
      <c r="D31" s="236" t="s">
        <v>691</v>
      </c>
    </row>
    <row r="32" spans="1:18">
      <c r="A32" s="171" t="s">
        <v>40</v>
      </c>
      <c r="B32" s="38">
        <f>IF( ISERROR(IND_voed_ele_kWh/1000),0,IND_voed_ele_kWh/1000)</f>
        <v>375.39437558250404</v>
      </c>
      <c r="C32" s="40">
        <f>IF(ISERROR(B32*3.6/1000000/'E Balans VL '!Z20*100),0,B32*3.6/1000000/'E Balans VL '!Z20*100)</f>
        <v>1.3269433035792425E-2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670.59147445067993</v>
      </c>
      <c r="C37" s="40">
        <f>IF(ISERROR(B37*3.6/1000000/'E Balans VL '!Z15*100),0,B37*3.6/1000000/'E Balans VL '!Z15*100)</f>
        <v>5.0639562455059711E-3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280.17626819705202</v>
      </c>
      <c r="C5" s="18">
        <f>'Eigen informatie GS &amp; warmtenet'!B60</f>
        <v>0</v>
      </c>
      <c r="D5" s="31">
        <f>IF(ISERROR(SUM(LB_lb_gas_kWh,LB_rest_gas_kWh)/1000),0,SUM(LB_lb_gas_kWh,LB_rest_gas_kWh)/1000)*0.902</f>
        <v>52.70011159063381</v>
      </c>
      <c r="E5" s="18">
        <f>B17*'E Balans VL '!I25/3.6*1000000/100</f>
        <v>2.6394481706738593</v>
      </c>
      <c r="F5" s="18">
        <f>B17*('E Balans VL '!L25/3.6*1000000+'E Balans VL '!N25/3.6*1000000)/100</f>
        <v>914.3081454643833</v>
      </c>
      <c r="G5" s="19"/>
      <c r="H5" s="18"/>
      <c r="I5" s="18"/>
      <c r="J5" s="18">
        <f>('E Balans VL '!D25+'E Balans VL '!E25)/3.6*1000000*landbouw!B17/100</f>
        <v>34.659167153082073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280.17626819705202</v>
      </c>
      <c r="C8" s="22">
        <f>C5+C6</f>
        <v>0</v>
      </c>
      <c r="D8" s="22">
        <f>MAX((D5+D6),0)</f>
        <v>52.70011159063381</v>
      </c>
      <c r="E8" s="22">
        <f>MAX((E5+E6),0)</f>
        <v>2.6394481706738593</v>
      </c>
      <c r="F8" s="22">
        <f>MAX((F5+F6),0)</f>
        <v>914.3081454643833</v>
      </c>
      <c r="G8" s="22"/>
      <c r="H8" s="22"/>
      <c r="I8" s="22"/>
      <c r="J8" s="22">
        <f>MAX((J5+J6),0)</f>
        <v>34.659167153082073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0.21695919202642946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60.78681677301261</v>
      </c>
      <c r="C12" s="24">
        <f ca="1">C8*C10</f>
        <v>0</v>
      </c>
      <c r="D12" s="24">
        <f>D8*D10</f>
        <v>10.645422541308029</v>
      </c>
      <c r="E12" s="24">
        <f>E8*E10</f>
        <v>0.5991547347429661</v>
      </c>
      <c r="F12" s="24">
        <f>F8*F10</f>
        <v>244.12027483899035</v>
      </c>
      <c r="G12" s="24"/>
      <c r="H12" s="24"/>
      <c r="I12" s="24"/>
      <c r="J12" s="24">
        <f>J8*J10</f>
        <v>12.269345172191054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3.7931389640233536E-2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5.3761014507773783</v>
      </c>
      <c r="C26" s="246">
        <f>B26*'GWP N2O_CH4'!B5</f>
        <v>112.89813046632494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0.35298533675631194</v>
      </c>
      <c r="C27" s="246">
        <f>B27*'GWP N2O_CH4'!B5</f>
        <v>7.4126920718825504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8.4953965355999875E-2</v>
      </c>
      <c r="C28" s="246">
        <f>B28*'GWP N2O_CH4'!B4</f>
        <v>26.335729260359962</v>
      </c>
      <c r="D28" s="51"/>
    </row>
    <row r="29" spans="1:4">
      <c r="A29" s="42" t="s">
        <v>272</v>
      </c>
      <c r="B29" s="246">
        <f>B34*'ha_N2O bodem landbouw'!B4</f>
        <v>2.2171766713644678</v>
      </c>
      <c r="C29" s="246">
        <f>B29*'GWP N2O_CH4'!B4</f>
        <v>687.32476812298501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5.9856790395516402E-4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6.9199761100471355E-6</v>
      </c>
      <c r="C5" s="435" t="s">
        <v>210</v>
      </c>
      <c r="D5" s="420">
        <f>SUM(D6:D11)</f>
        <v>8.6844693682583242E-6</v>
      </c>
      <c r="E5" s="420">
        <f>SUM(E6:E11)</f>
        <v>5.5520054144518106E-4</v>
      </c>
      <c r="F5" s="433" t="s">
        <v>210</v>
      </c>
      <c r="G5" s="420">
        <f>SUM(G6:G11)</f>
        <v>0.13076662573764586</v>
      </c>
      <c r="H5" s="420">
        <f>SUM(H6:H11)</f>
        <v>2.0911045474609598E-2</v>
      </c>
      <c r="I5" s="435" t="s">
        <v>210</v>
      </c>
      <c r="J5" s="435" t="s">
        <v>210</v>
      </c>
      <c r="K5" s="435" t="s">
        <v>210</v>
      </c>
      <c r="L5" s="435" t="s">
        <v>210</v>
      </c>
      <c r="M5" s="420">
        <f>SUM(M6:M11)</f>
        <v>6.7763855000801234E-3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5.3844866578431392E-6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6.2712118489337496E-6</v>
      </c>
      <c r="E6" s="423">
        <f>vkm_GW_PW*SUMIFS(TableVerdeelsleutelVkm[LPG],TableVerdeelsleutelVkm[Voertuigtype],"Lichte voertuigen")*SUMIFS(TableECFTransport[EnergieConsumptieFactor (PJ per km)],TableECFTransport[Index],CONCATENATE($A6,"_LPG_LPG"))</f>
        <v>4.0686010958601256E-4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6.3477826459401671E-2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1.529814613347389E-2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3.5252299037896125E-3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2.3756669263336091E-7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3.9298773785062809E-2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1.0545261393360784E-6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1.7486672336048969E-3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1.2686851854117937E-6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2.4132575193245754E-6</v>
      </c>
      <c r="E8" s="423">
        <f>vkm_NGW_PW*SUMIFS(TableVerdeelsleutelVkm[LPG],TableVerdeelsleutelVkm[Voertuigtype],"Lichte voertuigen")*SUMIFS(TableECFTransport[EnergieConsumptieFactor (PJ per km)],TableECFTransport[Index],CONCATENATE($A8,"_LPG_LPG"))</f>
        <v>1.4834043185916852E-4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2.1787910571812927E-2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5.6116881652916988E-3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1.2265149288878119E-3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2.9237574158840988E-8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6.202114921368451E-3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1.566497046728807E-7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2.759734337978022E-4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1.9222155861242043</v>
      </c>
      <c r="C14" s="22"/>
      <c r="D14" s="22">
        <f t="shared" ref="D14:M14" si="0">((D5)*10^9/3600)+D12</f>
        <v>2.412352602293979</v>
      </c>
      <c r="E14" s="22">
        <f t="shared" si="0"/>
        <v>154.22237262366139</v>
      </c>
      <c r="F14" s="22"/>
      <c r="G14" s="22">
        <f t="shared" si="0"/>
        <v>36324.062704901626</v>
      </c>
      <c r="H14" s="22">
        <f t="shared" si="0"/>
        <v>5808.6237429471103</v>
      </c>
      <c r="I14" s="22"/>
      <c r="J14" s="22"/>
      <c r="K14" s="22"/>
      <c r="L14" s="22"/>
      <c r="M14" s="22">
        <f t="shared" si="0"/>
        <v>1882.3293055778122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0.21695919202642946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0.41704234046611688</v>
      </c>
      <c r="C18" s="24"/>
      <c r="D18" s="24">
        <f t="shared" ref="D18:M18" si="1">D14*D16</f>
        <v>0.48729522566338379</v>
      </c>
      <c r="E18" s="24">
        <f t="shared" si="1"/>
        <v>35.008478585571133</v>
      </c>
      <c r="F18" s="24"/>
      <c r="G18" s="24">
        <f t="shared" si="1"/>
        <v>9698.5247422087341</v>
      </c>
      <c r="H18" s="24">
        <f t="shared" si="1"/>
        <v>1446.3473119938305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1.216103454518067E-5</v>
      </c>
      <c r="C50" s="316">
        <f t="shared" ref="C50:P50" si="2">SUM(C51:C52)</f>
        <v>0</v>
      </c>
      <c r="D50" s="316">
        <f t="shared" si="2"/>
        <v>0</v>
      </c>
      <c r="E50" s="316">
        <f t="shared" si="2"/>
        <v>0</v>
      </c>
      <c r="F50" s="316">
        <f t="shared" si="2"/>
        <v>0</v>
      </c>
      <c r="G50" s="316">
        <f t="shared" si="2"/>
        <v>2.425542316310589E-3</v>
      </c>
      <c r="H50" s="316">
        <f t="shared" si="2"/>
        <v>0</v>
      </c>
      <c r="I50" s="316">
        <f t="shared" si="2"/>
        <v>0</v>
      </c>
      <c r="J50" s="316">
        <f t="shared" si="2"/>
        <v>0</v>
      </c>
      <c r="K50" s="316">
        <f t="shared" si="2"/>
        <v>0</v>
      </c>
      <c r="L50" s="316">
        <f t="shared" si="2"/>
        <v>0</v>
      </c>
      <c r="M50" s="316">
        <f t="shared" si="2"/>
        <v>1.0720638703334857E-4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1.216103454518067E-5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2.425542316310589E-3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1.0720638703334857E-4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3.3780651514390749</v>
      </c>
      <c r="C54" s="22">
        <f t="shared" ref="C54:P54" si="3">(C50)*10^9/3600</f>
        <v>0</v>
      </c>
      <c r="D54" s="22">
        <f t="shared" si="3"/>
        <v>0</v>
      </c>
      <c r="E54" s="22">
        <f t="shared" si="3"/>
        <v>0</v>
      </c>
      <c r="F54" s="22">
        <f t="shared" si="3"/>
        <v>0</v>
      </c>
      <c r="G54" s="22">
        <f t="shared" si="3"/>
        <v>673.76175453071926</v>
      </c>
      <c r="H54" s="22">
        <f t="shared" si="3"/>
        <v>0</v>
      </c>
      <c r="I54" s="22">
        <f t="shared" si="3"/>
        <v>0</v>
      </c>
      <c r="J54" s="22">
        <f t="shared" si="3"/>
        <v>0</v>
      </c>
      <c r="K54" s="22">
        <f t="shared" si="3"/>
        <v>0</v>
      </c>
      <c r="L54" s="22">
        <f t="shared" si="3"/>
        <v>0</v>
      </c>
      <c r="M54" s="22">
        <f t="shared" si="3"/>
        <v>29.779551953707937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0.21695919202642946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0.73290228586885975</v>
      </c>
      <c r="C58" s="24">
        <f t="shared" ref="C58:P58" ca="1" si="4">C54*C56</f>
        <v>0</v>
      </c>
      <c r="D58" s="24">
        <f t="shared" si="4"/>
        <v>0</v>
      </c>
      <c r="E58" s="24">
        <f t="shared" si="4"/>
        <v>0</v>
      </c>
      <c r="F58" s="24">
        <f t="shared" si="4"/>
        <v>0</v>
      </c>
      <c r="G58" s="24">
        <f t="shared" si="4"/>
        <v>179.89438845970204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785.17143669231405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785.17143669231405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2021-06-29T16:47:09Z</dcterms:modified>
</cp:coreProperties>
</file>