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C48" i="18"/>
  <c r="N6" i="17"/>
  <c r="L6" i="17"/>
  <c r="F6" i="17"/>
  <c r="D6" i="17"/>
  <c r="C6" i="17"/>
  <c r="N16" i="16"/>
  <c r="L16" i="16"/>
  <c r="F16" i="16"/>
  <c r="D16" i="16"/>
  <c r="C16" i="16"/>
  <c r="B16" i="16"/>
  <c r="B13" i="15"/>
  <c r="E48" i="18" l="1"/>
  <c r="E8" i="18" s="1"/>
  <c r="E10" i="18" s="1"/>
  <c r="I48" i="18"/>
  <c r="H8" i="18" s="1"/>
  <c r="H10" i="18" s="1"/>
  <c r="F48" i="18"/>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10" i="18"/>
  <c r="I76" i="14"/>
  <c r="I8" i="56" s="1"/>
  <c r="I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5" i="13"/>
  <c r="C35" i="13" s="1"/>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<sst xmlns="http://schemas.openxmlformats.org/spreadsheetml/2006/main" count="2565" uniqueCount="965">
  <si>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</si>
  <si>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</si>
  <si>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</si>
  <si>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</si>
  <si>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</si>
  <si>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</si>
  <si>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</si>
  <si>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</si>
  <si>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</si>
  <si>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</si>
  <si>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</si>
  <si>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</si>
  <si>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</si>
  <si>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</si>
  <si>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</si>
  <si>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</si>
  <si>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</si>
  <si>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</si>
  <si>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</si>
  <si>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</si>
  <si>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</si>
  <si>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</si>
  <si>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</si>
  <si>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</si>
  <si>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</si>
  <si>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</si>
  <si>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</si>
  <si>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</si>
  <si>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</si>
  <si>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</si>
  <si>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</si>
  <si>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</si>
  <si>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</si>
  <si>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</si>
  <si>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</si>
  <si>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</si>
  <si>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</si>
  <si>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</si>
  <si>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</si>
  <si>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</si>
  <si>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</si>
  <si>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</si>
  <si>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</si>
  <si>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</si>
  <si>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</si>
  <si>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</si>
  <si>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</si>
  <si>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</si>
  <si>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</si>
  <si>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</si>
  <si>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</si>
  <si>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</si>
  <si>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</si>
  <si>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</si>
  <si>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</si>
  <si>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</si>
  <si>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</si>
  <si>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</si>
  <si>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</si>
  <si>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</si>
  <si>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</si>
  <si>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</si>
  <si>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</si>
  <si>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</si>
  <si>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</si>
  <si>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</si>
  <si>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</si>
  <si>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</si>
  <si>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</si>
  <si>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</si>
  <si>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</si>
  <si>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</si>
  <si>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</si>
  <si>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</si>
  <si>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</si>
  <si>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</si>
  <si>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</si>
  <si>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</si>
  <si>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</si>
  <si>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</si>
  <si>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</si>
  <si>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</si>
  <si>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</si>
  <si>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</si>
  <si>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</si>
  <si>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</si>
  <si>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</si>
  <si>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</si>
  <si>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</si>
  <si>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</si>
  <si>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</si>
  <si>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</si>
  <si>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</si>
  <si>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</si>
  <si>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</si>
  <si>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</si>
  <si>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</si>
  <si>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</si>
  <si>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</si>
  <si>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</si>
  <si>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</si>
  <si>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</si>
  <si>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</si>
  <si>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</si>
  <si>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</si>
  <si>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</si>
  <si>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</si>
  <si>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</si>
  <si>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</si>
  <si>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</si>
  <si>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</si>
  <si>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</si>
  <si>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</si>
  <si>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</si>
  <si>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</si>
  <si>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</si>
  <si>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</si>
  <si>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</si>
  <si>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</si>
  <si>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</si>
  <si>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</si>
  <si>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</si>
  <si>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</si>
  <si>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</si>
  <si>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</si>
  <si>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</si>
  <si>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</si>
  <si>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</si>
  <si>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</si>
  <si>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</si>
  <si>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</si>
  <si>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</si>
  <si>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</si>
  <si>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</si>
  <si>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</si>
  <si>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</si>
  <si>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</si>
  <si>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</si>
  <si>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</si>
  <si>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</si>
  <si>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</si>
  <si>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</si>
  <si>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</si>
  <si>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</si>
  <si>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</si>
  <si>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</si>
  <si>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</si>
  <si>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</si>
  <si>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</si>
  <si>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</si>
  <si>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</si>
  <si>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</si>
  <si>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</si>
  <si>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</si>
  <si>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</si>
  <si>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</si>
  <si>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</si>
  <si>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</si>
  <si>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</si>
  <si>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</si>
  <si>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</si>
  <si>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</si>
  <si>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</si>
  <si>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</si>
  <si>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</si>
  <si>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</si>
  <si>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</si>
  <si>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</si>
  <si>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</si>
  <si>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</si>
  <si>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</si>
  <si>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</si>
  <si>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</si>
  <si>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</si>
  <si>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</si>
  <si>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</si>
  <si>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</si>
  <si>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</si>
  <si>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</si>
  <si>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</si>
  <si>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</si>
  <si>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</si>
  <si>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</si>
  <si>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</si>
  <si>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</si>
  <si>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</si>
  <si>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</si>
  <si>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</si>
  <si>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</si>
  <si>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</si>
  <si>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</si>
  <si>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</si>
  <si>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</si>
  <si>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</si>
  <si>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</si>
  <si>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</si>
  <si>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</si>
  <si>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</si>
  <si>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</si>
  <si>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</si>
  <si>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</si>
  <si>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</si>
  <si>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</si>
  <si>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</si>
  <si>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</si>
  <si>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</si>
  <si>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</si>
  <si>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</si>
  <si>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</si>
  <si>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</si>
  <si>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</si>
  <si>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</si>
  <si>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</si>
  <si>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</si>
  <si>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</si>
  <si>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</si>
  <si>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</si>
  <si>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</si>
  <si>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</si>
  <si>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</si>
  <si>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</si>
  <si>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</si>
  <si>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</si>
  <si>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</si>
  <si>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</si>
  <si>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</si>
  <si>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</si>
  <si>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</si>
  <si>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</si>
  <si>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</si>
  <si>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</si>
  <si>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</si>
  <si>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</si>
  <si>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</si>
  <si>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</si>
  <si>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</si>
  <si>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</si>
  <si>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</si>
  <si>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</si>
  <si>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</si>
  <si>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</si>
  <si>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</si>
  <si>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</si>
  <si>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</si>
  <si>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</si>
  <si>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</si>
  <si>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</si>
  <si>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</si>
  <si>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</si>
  <si>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</si>
  <si>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</si>
  <si>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</si>
  <si>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</si>
  <si>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</si>
  <si>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</si>
  <si>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</si>
  <si>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</si>
  <si>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</si>
  <si>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</si>
  <si>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</si>
  <si>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</si>
  <si>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</si>
  <si>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</si>
  <si>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</si>
  <si>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</si>
  <si>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</si>
  <si>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</si>
  <si>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</si>
  <si>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</si>
  <si>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</si>
  <si>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</si>
  <si>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</si>
  <si>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</si>
  <si>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</si>
  <si>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</si>
  <si>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</si>
  <si>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</si>
  <si>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</si>
  <si>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</si>
  <si>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</si>
  <si>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</si>
  <si>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</si>
  <si>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</si>
  <si>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</si>
  <si>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</si>
  <si>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</si>
  <si>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</si>
  <si>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</si>
  <si>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</si>
  <si>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</si>
  <si>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</si>
  <si>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</si>
  <si>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</si>
  <si>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</si>
  <si>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</si>
  <si>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</si>
  <si>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</si>
  <si>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</si>
  <si>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</si>
  <si>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</si>
  <si>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</si>
  <si>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</si>
  <si>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</si>
  <si>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</si>
  <si>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</si>
  <si>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</si>
  <si>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</si>
  <si>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</si>
  <si>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</si>
  <si>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</si>
  <si>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</si>
  <si>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</si>
  <si>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</si>
  <si>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</si>
  <si>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</si>
  <si>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</si>
  <si>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</si>
  <si>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</si>
  <si>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</si>
  <si>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</si>
  <si>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</si>
  <si>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</si>
  <si>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</si>
  <si>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</si>
  <si>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</si>
  <si>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</si>
  <si>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</si>
  <si>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</si>
  <si>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</si>
  <si>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</si>
  <si>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</si>
  <si>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</si>
  <si>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</si>
  <si>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</si>
  <si>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</si>
  <si>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</si>
  <si>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</si>
  <si>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</si>
  <si>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</si>
  <si>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</si>
  <si>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</si>
  <si>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</si>
  <si>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</si>
  <si>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</si>
  <si>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</si>
  <si>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</si>
  <si>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</si>
  <si>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</si>
  <si>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</si>
  <si>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</si>
  <si>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</si>
  <si>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</si>
  <si>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</si>
  <si>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</si>
  <si>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</si>
  <si>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</si>
  <si>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</si>
  <si>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</si>
  <si>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</si>
  <si>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</si>
  <si>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</si>
  <si>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</si>
  <si>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</si>
  <si>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</si>
  <si>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</si>
  <si>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</si>
  <si>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</si>
  <si>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</si>
  <si>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</si>
  <si>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</si>
  <si>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</si>
  <si>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</si>
  <si>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</si>
  <si>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</si>
  <si>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</si>
  <si>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</si>
  <si>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</si>
  <si>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</si>
  <si>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</si>
  <si>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</si>
  <si>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</si>
  <si>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</si>
  <si>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</si>
  <si>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</si>
  <si>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</si>
  <si>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</si>
  <si>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</si>
  <si>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</si>
  <si>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</si>
  <si>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</si>
  <si>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</si>
  <si>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</si>
  <si>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</si>
  <si>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</si>
  <si>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</si>
  <si>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</si>
  <si>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</si>
  <si>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</si>
  <si>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</si>
  <si>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</si>
  <si>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</si>
  <si>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</si>
  <si>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</si>
  <si>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</si>
  <si>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</si>
  <si>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</si>
  <si>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</si>
  <si>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</si>
  <si>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</si>
  <si>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</si>
  <si>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</si>
  <si>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</si>
  <si>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</si>
  <si>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</si>
  <si>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</si>
  <si>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</si>
  <si>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</si>
  <si>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</si>
  <si>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</si>
  <si>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</si>
  <si>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</si>
  <si>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</si>
  <si>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</si>
  <si>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</si>
  <si>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</si>
  <si>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</si>
  <si>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</si>
  <si>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</si>
  <si>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</si>
  <si>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</si>
  <si>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</si>
  <si>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</si>
  <si>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</si>
  <si>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</si>
  <si>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</si>
  <si>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</si>
  <si>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</si>
  <si>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</si>
  <si>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</si>
  <si>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</si>
  <si>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</si>
  <si>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</si>
  <si>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</si>
  <si>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</si>
  <si>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</si>
  <si>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</si>
  <si>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</si>
  <si>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</si>
  <si>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</si>
  <si>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</si>
  <si>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</si>
  <si>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</si>
  <si>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</si>
  <si>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</si>
  <si>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</si>
  <si>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</si>
  <si>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</si>
  <si>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</si>
  <si>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</si>
  <si>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</si>
  <si>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</si>
  <si>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</si>
  <si>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</si>
  <si>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</si>
  <si>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</si>
  <si>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</si>
  <si>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</si>
  <si>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</si>
  <si>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</si>
  <si>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</si>
  <si>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</si>
  <si>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</si>
  <si>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</si>
  <si>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</si>
  <si>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</si>
  <si>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</si>
  <si>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</si>
  <si>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</si>
  <si>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</si>
  <si>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</si>
  <si>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</si>
  <si>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</si>
  <si>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</si>
  <si>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</si>
  <si>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</si>
  <si>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</si>
  <si>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</si>
  <si>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</si>
  <si>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</si>
  <si>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</si>
  <si>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</si>
  <si>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</si>
  <si>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</si>
  <si>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</si>
  <si>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</si>
  <si>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</si>
  <si>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</si>
  <si>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</si>
  <si>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</si>
  <si>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</si>
  <si>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</si>
  <si>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</si>
  <si>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</si>
  <si>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</si>
  <si>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</si>
  <si>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</si>
  <si>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</si>
  <si>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</si>
  <si>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</si>
  <si>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</si>
  <si>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</si>
  <si>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</si>
  <si>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</si>
  <si>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</si>
  <si>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</si>
  <si>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</si>
  <si>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</si>
  <si>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</si>
  <si>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</si>
  <si>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</si>
  <si>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</si>
  <si>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</si>
  <si>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</si>
  <si>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</si>
  <si>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</si>
  <si>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</si>
  <si>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</si>
  <si>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</si>
  <si>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</si>
  <si>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</si>
  <si>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</si>
  <si>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</si>
  <si>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</si>
  <si>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</si>
  <si>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</si>
  <si>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</si>
  <si>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</si>
  <si>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</si>
  <si>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</si>
  <si>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</si>
  <si>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</si>
  <si>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</si>
  <si>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</si>
  <si>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</si>
  <si>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</si>
  <si>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</si>
  <si>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</si>
  <si>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</si>
  <si>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</si>
  <si>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</si>
  <si>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</si>
  <si>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</si>
  <si>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</si>
  <si>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</si>
  <si>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</si>
  <si>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</si>
  <si>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</si>
  <si>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</si>
  <si>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</si>
  <si>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</si>
  <si>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</si>
  <si>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</si>
  <si>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</si>
  <si>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</si>
  <si>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</si>
  <si>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</si>
  <si>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</si>
  <si>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</si>
  <si>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</si>
  <si>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</si>
  <si>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</si>
  <si>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</si>
  <si>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</si>
  <si>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</si>
  <si>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</si>
  <si>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</si>
  <si>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</si>
  <si>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</si>
  <si>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</si>
  <si>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</si>
  <si>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</si>
  <si>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</si>
  <si>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</si>
  <si>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</si>
  <si>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</si>
  <si>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</si>
  <si>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</si>
  <si>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</si>
  <si>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</si>
  <si>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</si>
  <si>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</si>
  <si>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</si>
  <si>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</si>
  <si>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</si>
  <si>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</si>
  <si>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</si>
  <si>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</si>
  <si>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</si>
  <si>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</si>
  <si>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</si>
  <si>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</si>
  <si>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</si>
  <si>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</si>
  <si>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</si>
  <si>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</si>
  <si>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</si>
  <si>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</si>
  <si>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</si>
  <si>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</si>
  <si>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</si>
  <si>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</si>
  <si>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</si>
  <si>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</si>
  <si>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</si>
  <si>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</si>
  <si>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</si>
  <si>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</si>
  <si>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</si>
  <si>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</si>
  <si>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</si>
  <si>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</si>
  <si>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</si>
  <si>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</si>
  <si>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</si>
  <si>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</si>
  <si>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</si>
  <si>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</si>
  <si>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</si>
  <si>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</si>
  <si>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</si>
  <si>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</si>
  <si>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</si>
  <si>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</si>
  <si>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</si>
  <si>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</si>
  <si>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</si>
  <si>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</si>
  <si>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</si>
  <si>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</si>
  <si>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</si>
  <si>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</si>
  <si>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</si>
  <si>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</si>
  <si>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</si>
  <si>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</si>
  <si>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</si>
  <si>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</si>
  <si>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</si>
  <si>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</si>
  <si>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</si>
  <si>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</si>
  <si>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</si>
  <si>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</si>
  <si>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</si>
  <si>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</si>
  <si>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</si>
  <si>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</si>
  <si>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</si>
  <si>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</si>
  <si>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</si>
  <si>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</si>
  <si>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</si>
  <si>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</si>
  <si>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</si>
  <si>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</si>
  <si>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</si>
  <si>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</si>
  <si>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</si>
  <si>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</si>
  <si>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</si>
  <si>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</si>
  <si>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</si>
  <si>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</si>
  <si>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</si>
  <si>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</si>
  <si>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</si>
  <si>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</si>
  <si>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</si>
  <si>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</si>
  <si>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</si>
  <si>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</si>
  <si>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</si>
  <si>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</si>
  <si>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</si>
  <si>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</si>
  <si>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</si>
  <si>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</si>
  <si>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</si>
  <si>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</si>
  <si>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</si>
  <si>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</si>
  <si>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</si>
  <si>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</si>
  <si>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</si>
  <si>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</si>
  <si>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</si>
  <si>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</si>
  <si>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</si>
  <si>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</si>
  <si>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</si>
  <si>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</si>
  <si>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</si>
  <si>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</si>
  <si>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</si>
  <si>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</si>
  <si>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</si>
  <si>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</si>
  <si>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</si>
  <si>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</si>
  <si>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</si>
  <si>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</si>
  <si>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</si>
  <si>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</si>
  <si>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</si>
  <si>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</si>
  <si>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</si>
  <si>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</si>
  <si>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</si>
  <si>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</si>
  <si>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</si>
  <si>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</si>
  <si>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</si>
  <si>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</si>
  <si>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</si>
  <si>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</si>
  <si>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</si>
  <si>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</si>
  <si>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</si>
  <si>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</si>
  <si>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</si>
  <si>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</si>
  <si>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</si>
  <si>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</si>
  <si>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</si>
  <si>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</si>
  <si>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</si>
  <si>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</si>
  <si>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</si>
  <si>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</si>
  <si>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</si>
  <si>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</si>
  <si>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</si>
  <si>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</si>
  <si>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</si>
  <si>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</si>
  <si>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</si>
  <si>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</si>
  <si>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</si>
  <si>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</si>
  <si>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</si>
  <si>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</si>
  <si>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</si>
  <si>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</si>
  <si>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</si>
  <si>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</si>
  <si>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</si>
  <si>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</si>
  <si>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</si>
  <si>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</si>
  <si>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</si>
  <si>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</si>
  <si>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</si>
  <si>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</si>
  <si>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</si>
  <si>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</si>
  <si>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</si>
  <si>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</si>
  <si>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</si>
  <si>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</si>
  <si>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</si>
  <si>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</si>
  <si>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</si>
  <si>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</si>
  <si>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</si>
  <si>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</si>
  <si>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</si>
  <si>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</si>
  <si>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</si>
  <si>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</si>
  <si>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</si>
  <si>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</si>
  <si>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</si>
  <si>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</si>
  <si>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</si>
  <si>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</si>
  <si>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</si>
  <si>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</si>
  <si>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</si>
  <si>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</si>
  <si>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</si>
  <si>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</si>
  <si>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</si>
  <si>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</si>
  <si>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</si>
  <si>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</si>
  <si>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</si>
  <si>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</si>
  <si>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</si>
  <si>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</si>
  <si>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</si>
  <si>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</si>
  <si>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</si>
  <si>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</si>
  <si>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</si>
  <si>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</si>
  <si>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</si>
  <si>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</si>
  <si>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</si>
  <si>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</si>
  <si>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</si>
  <si>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</si>
  <si>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</si>
  <si>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</si>
  <si>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</si>
  <si>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</si>
  <si>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</si>
  <si>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</si>
  <si>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</si>
  <si>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</si>
  <si>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</si>
  <si>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</si>
  <si>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</si>
  <si>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</si>
  <si>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</si>
  <si>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</si>
  <si>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</si>
  <si>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</si>
  <si>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</si>
  <si>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</si>
  <si>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</si>
  <si>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</si>
  <si>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</si>
  <si>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</si>
  <si>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</si>
  <si>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</si>
  <si>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</si>
  <si>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</si>
  <si>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</si>
  <si>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</si>
  <si>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</si>
  <si>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</si>
  <si>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</si>
  <si>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</si>
  <si>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</si>
  <si>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</si>
  <si>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</si>
  <si>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</si>
  <si>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</si>
  <si>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</si>
  <si>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</si>
  <si>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</si>
  <si>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</si>
  <si>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</si>
  <si>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</si>
  <si>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</si>
  <si>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</si>
  <si>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</si>
  <si>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</si>
  <si>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</si>
  <si>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</si>
  <si>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</si>
  <si>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</si>
  <si>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</si>
  <si>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</si>
  <si>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</si>
  <si>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</si>
  <si>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</si>
  <si>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</si>
  <si>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</si>
  <si>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</si>
  <si>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</si>
  <si>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</si>
  <si>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</si>
  <si>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</si>
  <si>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</si>
  <si>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</si>
  <si>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</si>
  <si>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</si>
  <si>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</si>
  <si>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</si>
  <si>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</si>
  <si>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</si>
  <si>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</si>
  <si>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</si>
  <si>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</si>
  <si>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</si>
  <si>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</si>
  <si>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</si>
  <si>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</si>
  <si>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</si>
  <si>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</si>
  <si>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</si>
  <si>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</si>
  <si>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</si>
  <si>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</si>
  <si>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</si>
  <si>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</si>
  <si>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</si>
  <si>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</si>
  <si>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</si>
  <si>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</si>
  <si>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</si>
  <si>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</si>
  <si>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</si>
  <si>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</si>
  <si>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</si>
  <si>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</si>
  <si>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</si>
  <si>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</si>
  <si>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</si>
  <si>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</si>
  <si>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</si>
  <si>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</si>
  <si>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</si>
  <si>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</si>
  <si>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</si>
  <si>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</si>
  <si>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</si>
  <si>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</si>
  <si>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</si>
  <si>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</si>
  <si>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</si>
  <si>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</si>
  <si>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</si>
  <si>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</si>
  <si>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</si>
  <si>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</si>
  <si>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</si>
  <si>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</si>
  <si>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</si>
  <si>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</si>
  <si>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</si>
  <si>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</si>
  <si>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</si>
  <si>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</si>
  <si>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</si>
  <si>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</si>
  <si>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</si>
  <si>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</si>
  <si>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</si>
  <si>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</si>
  <si>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</si>
  <si>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</si>
  <si>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</si>
  <si>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</si>
  <si>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</si>
  <si>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</si>
  <si>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</si>
  <si>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</si>
  <si>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</si>
  <si>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</si>
  <si>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</si>
  <si>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</si>
  <si>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</si>
  <si>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</si>
  <si>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</si>
  <si>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</si>
  <si>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</si>
  <si>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</si>
  <si>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44052</t>
  </si>
  <si>
    <t>OOSTERZELE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</si>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</sst>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44052</v>
      </c>
      <c r="B6" s="386"/>
      <c r="C6" s="387"/>
    </row>
    <row r="7" spans="1:7" s="384" customFormat="1" ht="15.75" customHeight="1">
      <c r="A7" s="388" t="str">
        <f>txtMunicipality</f>
        <v>OOSTERZELE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11397.781467539004</v>
      </c>
      <c r="D10" s="676">
        <f ca="1">tertiair!C16</f>
        <v>0</v>
      </c>
      <c r="E10" s="676">
        <f ca="1">tertiair!D16</f>
        <v>9539.0177620908235</v>
      </c>
      <c r="F10" s="676">
        <f>tertiair!E16</f>
        <v>143.73057906523402</v>
      </c>
      <c r="G10" s="676">
        <f ca="1">tertiair!F16</f>
        <v>2098.7411145213387</v>
      </c>
      <c r="H10" s="676">
        <f>tertiair!G16</f>
        <v>0</v>
      </c>
      <c r="I10" s="676">
        <f>tertiair!H16</f>
        <v>0</v>
      </c>
      <c r="J10" s="676">
        <f>tertiair!I16</f>
        <v>0</v>
      </c>
      <c r="K10" s="676">
        <f>tertiair!J16</f>
        <v>0</v>
      </c>
      <c r="L10" s="676">
        <f>tertiair!K16</f>
        <v>0</v>
      </c>
      <c r="M10" s="676">
        <f ca="1">tertiair!L16</f>
        <v>0</v>
      </c>
      <c r="N10" s="676">
        <f>tertiair!M16</f>
        <v>0</v>
      </c>
      <c r="O10" s="676">
        <f ca="1">tertiair!N16</f>
        <v>582.30873916410985</v>
      </c>
      <c r="P10" s="676">
        <f>tertiair!O16</f>
        <v>1.5633333333333335</v>
      </c>
      <c r="Q10" s="677">
        <f>tertiair!P16</f>
        <v>57.2</v>
      </c>
      <c r="R10" s="679">
        <f ca="1">SUM(C10:Q10)</f>
        <v>23820.34299571384</v>
      </c>
      <c r="S10" s="68"/>
    </row>
    <row r="11" spans="1:19" s="445" customFormat="1">
      <c r="A11" s="791" t="s">
        <v>220</v>
      </c>
      <c r="B11" s="796"/>
      <c r="C11" s="676">
        <f>huishoudens!B8</f>
        <v>30015.225429752096</v>
      </c>
      <c r="D11" s="676">
        <f>huishoudens!C8</f>
        <v>0</v>
      </c>
      <c r="E11" s="676">
        <f>huishoudens!D8</f>
        <v>33306.238819625039</v>
      </c>
      <c r="F11" s="676">
        <f>huishoudens!E8</f>
        <v>1721.5234833150737</v>
      </c>
      <c r="G11" s="676">
        <f>huishoudens!F8</f>
        <v>52484.252914271769</v>
      </c>
      <c r="H11" s="676">
        <f>huishoudens!G8</f>
        <v>0</v>
      </c>
      <c r="I11" s="676">
        <f>huishoudens!H8</f>
        <v>0</v>
      </c>
      <c r="J11" s="676">
        <f>huishoudens!I8</f>
        <v>0</v>
      </c>
      <c r="K11" s="676">
        <f>huishoudens!J8</f>
        <v>952.30848121018516</v>
      </c>
      <c r="L11" s="676">
        <f>huishoudens!K8</f>
        <v>0</v>
      </c>
      <c r="M11" s="676">
        <f>huishoudens!L8</f>
        <v>0</v>
      </c>
      <c r="N11" s="676">
        <f>huishoudens!M8</f>
        <v>0</v>
      </c>
      <c r="O11" s="676">
        <f>huishoudens!N8</f>
        <v>8055.3016127830906</v>
      </c>
      <c r="P11" s="676">
        <f>huishoudens!O8</f>
        <v>100.05333333333334</v>
      </c>
      <c r="Q11" s="677">
        <f>huishoudens!P8</f>
        <v>552.93333333333339</v>
      </c>
      <c r="R11" s="679">
        <f>SUM(C11:Q11)</f>
        <v>127187.83740762393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4753.89282855498</v>
      </c>
      <c r="D13" s="676">
        <f>industrie!C18</f>
        <v>0</v>
      </c>
      <c r="E13" s="676">
        <f>industrie!D18</f>
        <v>1844.3674634417512</v>
      </c>
      <c r="F13" s="676">
        <f>industrie!E18</f>
        <v>42.47064992088486</v>
      </c>
      <c r="G13" s="676">
        <f>industrie!F18</f>
        <v>1339.4796699991666</v>
      </c>
      <c r="H13" s="676">
        <f>industrie!G18</f>
        <v>0</v>
      </c>
      <c r="I13" s="676">
        <f>industrie!H18</f>
        <v>0</v>
      </c>
      <c r="J13" s="676">
        <f>industrie!I18</f>
        <v>0</v>
      </c>
      <c r="K13" s="676">
        <f>industrie!J18</f>
        <v>11.371869801283028</v>
      </c>
      <c r="L13" s="676">
        <f>industrie!K18</f>
        <v>0</v>
      </c>
      <c r="M13" s="676">
        <f>industrie!L18</f>
        <v>0</v>
      </c>
      <c r="N13" s="676">
        <f>industrie!M18</f>
        <v>0</v>
      </c>
      <c r="O13" s="676">
        <f>industrie!N18</f>
        <v>177.0841217379886</v>
      </c>
      <c r="P13" s="676">
        <f>industrie!O18</f>
        <v>0</v>
      </c>
      <c r="Q13" s="677">
        <f>industrie!P18</f>
        <v>0</v>
      </c>
      <c r="R13" s="679">
        <f>SUM(C13:Q13)</f>
        <v>8168.666603456054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46166.899725846073</v>
      </c>
      <c r="D16" s="709">
        <f t="shared" ref="D16:R16" ca="1" si="0">SUM(D9:D15)</f>
        <v>0</v>
      </c>
      <c r="E16" s="709">
        <f t="shared" ca="1" si="0"/>
        <v>44689.624045157616</v>
      </c>
      <c r="F16" s="709">
        <f t="shared" si="0"/>
        <v>1907.7247123011925</v>
      </c>
      <c r="G16" s="709">
        <f t="shared" ca="1" si="0"/>
        <v>55922.473698792273</v>
      </c>
      <c r="H16" s="709">
        <f t="shared" si="0"/>
        <v>0</v>
      </c>
      <c r="I16" s="709">
        <f t="shared" si="0"/>
        <v>0</v>
      </c>
      <c r="J16" s="709">
        <f t="shared" si="0"/>
        <v>0</v>
      </c>
      <c r="K16" s="709">
        <f t="shared" si="0"/>
        <v>963.68035101146825</v>
      </c>
      <c r="L16" s="709">
        <f t="shared" si="0"/>
        <v>0</v>
      </c>
      <c r="M16" s="709">
        <f t="shared" ca="1" si="0"/>
        <v>0</v>
      </c>
      <c r="N16" s="709">
        <f t="shared" si="0"/>
        <v>0</v>
      </c>
      <c r="O16" s="709">
        <f t="shared" ca="1" si="0"/>
        <v>8814.6944736851892</v>
      </c>
      <c r="P16" s="709">
        <f t="shared" si="0"/>
        <v>101.61666666666667</v>
      </c>
      <c r="Q16" s="709">
        <f t="shared" si="0"/>
        <v>610.13333333333344</v>
      </c>
      <c r="R16" s="709">
        <f t="shared" ca="1" si="0"/>
        <v>159176.8470067938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3.3647347057265904</v>
      </c>
      <c r="D19" s="676">
        <f>transport!C54</f>
        <v>0</v>
      </c>
      <c r="E19" s="676">
        <f>transport!D54</f>
        <v>0</v>
      </c>
      <c r="F19" s="676">
        <f>transport!E54</f>
        <v>0</v>
      </c>
      <c r="G19" s="676">
        <f>transport!F54</f>
        <v>0</v>
      </c>
      <c r="H19" s="676">
        <f>transport!G54</f>
        <v>671.10297085151944</v>
      </c>
      <c r="I19" s="676">
        <f>transport!H54</f>
        <v>0</v>
      </c>
      <c r="J19" s="676">
        <f>transport!I54</f>
        <v>0</v>
      </c>
      <c r="K19" s="676">
        <f>transport!J54</f>
        <v>0</v>
      </c>
      <c r="L19" s="676">
        <f>transport!K54</f>
        <v>0</v>
      </c>
      <c r="M19" s="676">
        <f>transport!L54</f>
        <v>0</v>
      </c>
      <c r="N19" s="676">
        <f>transport!M54</f>
        <v>29.662036546850882</v>
      </c>
      <c r="O19" s="676">
        <f>transport!N54</f>
        <v>0</v>
      </c>
      <c r="P19" s="676">
        <f>transport!O54</f>
        <v>0</v>
      </c>
      <c r="Q19" s="677">
        <f>transport!P54</f>
        <v>0</v>
      </c>
      <c r="R19" s="679">
        <f>SUM(C19:Q19)</f>
        <v>704.12974210409698</v>
      </c>
      <c r="S19" s="68"/>
    </row>
    <row r="20" spans="1:19" s="445" customFormat="1">
      <c r="A20" s="791" t="s">
        <v>302</v>
      </c>
      <c r="B20" s="796"/>
      <c r="C20" s="676">
        <f>transport!B14</f>
        <v>4.3750389784536523</v>
      </c>
      <c r="D20" s="676">
        <f>transport!C14</f>
        <v>0</v>
      </c>
      <c r="E20" s="676">
        <f>transport!D14</f>
        <v>5.8688655671446517</v>
      </c>
      <c r="F20" s="676">
        <f>transport!E14</f>
        <v>372.60740354565206</v>
      </c>
      <c r="G20" s="676">
        <f>transport!F14</f>
        <v>0</v>
      </c>
      <c r="H20" s="676">
        <f>transport!G14</f>
        <v>79427.538972733702</v>
      </c>
      <c r="I20" s="676">
        <f>transport!H14</f>
        <v>14044.527209623368</v>
      </c>
      <c r="J20" s="676">
        <f>transport!I14</f>
        <v>0</v>
      </c>
      <c r="K20" s="676">
        <f>transport!J14</f>
        <v>0</v>
      </c>
      <c r="L20" s="676">
        <f>transport!K14</f>
        <v>0</v>
      </c>
      <c r="M20" s="676">
        <f>transport!L14</f>
        <v>0</v>
      </c>
      <c r="N20" s="676">
        <f>transport!M14</f>
        <v>4177.4968097900301</v>
      </c>
      <c r="O20" s="676">
        <f>transport!N14</f>
        <v>0</v>
      </c>
      <c r="P20" s="676">
        <f>transport!O14</f>
        <v>0</v>
      </c>
      <c r="Q20" s="677">
        <f>transport!P14</f>
        <v>0</v>
      </c>
      <c r="R20" s="679">
        <f>SUM(C20:Q20)</f>
        <v>98032.41430023835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7.7397736841802427</v>
      </c>
      <c r="D22" s="794">
        <f t="shared" ref="D22:R22" si="1">SUM(D18:D21)</f>
        <v>0</v>
      </c>
      <c r="E22" s="794">
        <f t="shared" si="1"/>
        <v>5.8688655671446517</v>
      </c>
      <c r="F22" s="794">
        <f t="shared" si="1"/>
        <v>372.60740354565206</v>
      </c>
      <c r="G22" s="794">
        <f t="shared" si="1"/>
        <v>0</v>
      </c>
      <c r="H22" s="794">
        <f t="shared" si="1"/>
        <v>80098.641943585215</v>
      </c>
      <c r="I22" s="794">
        <f t="shared" si="1"/>
        <v>14044.527209623368</v>
      </c>
      <c r="J22" s="794">
        <f t="shared" si="1"/>
        <v>0</v>
      </c>
      <c r="K22" s="794">
        <f t="shared" si="1"/>
        <v>0</v>
      </c>
      <c r="L22" s="794">
        <f t="shared" si="1"/>
        <v>0</v>
      </c>
      <c r="M22" s="794">
        <f t="shared" si="1"/>
        <v>0</v>
      </c>
      <c r="N22" s="794">
        <f t="shared" si="1"/>
        <v>4207.1588463368807</v>
      </c>
      <c r="O22" s="794">
        <f t="shared" si="1"/>
        <v>0</v>
      </c>
      <c r="P22" s="794">
        <f t="shared" si="1"/>
        <v>0</v>
      </c>
      <c r="Q22" s="794">
        <f t="shared" si="1"/>
        <v>0</v>
      </c>
      <c r="R22" s="794">
        <f t="shared" si="1"/>
        <v>98736.544042342444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2378.7202971397223</v>
      </c>
      <c r="D24" s="676">
        <f>+landbouw!C8</f>
        <v>0</v>
      </c>
      <c r="E24" s="676">
        <f>+landbouw!D8</f>
        <v>151.3642849407035</v>
      </c>
      <c r="F24" s="676">
        <f>+landbouw!E8</f>
        <v>22.409138993936676</v>
      </c>
      <c r="G24" s="676">
        <f>+landbouw!F8</f>
        <v>7762.5537575033986</v>
      </c>
      <c r="H24" s="676">
        <f>+landbouw!G8</f>
        <v>0</v>
      </c>
      <c r="I24" s="676">
        <f>+landbouw!H8</f>
        <v>0</v>
      </c>
      <c r="J24" s="676">
        <f>+landbouw!I8</f>
        <v>0</v>
      </c>
      <c r="K24" s="676">
        <f>+landbouw!J8</f>
        <v>294.25927084948648</v>
      </c>
      <c r="L24" s="676">
        <f>+landbouw!K8</f>
        <v>0</v>
      </c>
      <c r="M24" s="676">
        <f>+landbouw!L8</f>
        <v>0</v>
      </c>
      <c r="N24" s="676">
        <f>+landbouw!M8</f>
        <v>0</v>
      </c>
      <c r="O24" s="676">
        <f>+landbouw!N8</f>
        <v>0</v>
      </c>
      <c r="P24" s="676">
        <f>+landbouw!O8</f>
        <v>0</v>
      </c>
      <c r="Q24" s="677">
        <f>+landbouw!P8</f>
        <v>0</v>
      </c>
      <c r="R24" s="679">
        <f>SUM(C24:Q24)</f>
        <v>10609.306749427247</v>
      </c>
      <c r="S24" s="68"/>
    </row>
    <row r="25" spans="1:19" s="445" customFormat="1" ht="15" thickBot="1">
      <c r="A25" s="813" t="s">
        <v>879</v>
      </c>
      <c r="B25" s="979"/>
      <c r="C25" s="980">
        <f>IF(Onbekend_ele_kWh="---",0,Onbekend_ele_kWh)/1000+IF(REST_rest_ele_kWh="---",0,REST_rest_ele_kWh)/1000</f>
        <v>934.88543865777604</v>
      </c>
      <c r="D25" s="980"/>
      <c r="E25" s="980">
        <f>IF(onbekend_gas_kWh="---",0,onbekend_gas_kWh)/1000+IF(REST_rest_gas_kWh="---",0,REST_rest_gas_kWh)/1000</f>
        <v>922.902350512618</v>
      </c>
      <c r="F25" s="980"/>
      <c r="G25" s="980"/>
      <c r="H25" s="980"/>
      <c r="I25" s="980"/>
      <c r="J25" s="980"/>
      <c r="K25" s="980"/>
      <c r="L25" s="980"/>
      <c r="M25" s="980"/>
      <c r="N25" s="980"/>
      <c r="O25" s="980"/>
      <c r="P25" s="980"/>
      <c r="Q25" s="981"/>
      <c r="R25" s="679">
        <f>SUM(C25:Q25)</f>
        <v>1857.787789170394</v>
      </c>
      <c r="S25" s="68"/>
    </row>
    <row r="26" spans="1:19" s="445" customFormat="1" ht="15.75" thickBot="1">
      <c r="A26" s="682" t="s">
        <v>880</v>
      </c>
      <c r="B26" s="799"/>
      <c r="C26" s="794">
        <f>SUM(C24:C25)</f>
        <v>3313.6057357974983</v>
      </c>
      <c r="D26" s="794">
        <f t="shared" ref="D26:R26" si="2">SUM(D24:D25)</f>
        <v>0</v>
      </c>
      <c r="E26" s="794">
        <f t="shared" si="2"/>
        <v>1074.2666354533214</v>
      </c>
      <c r="F26" s="794">
        <f t="shared" si="2"/>
        <v>22.409138993936676</v>
      </c>
      <c r="G26" s="794">
        <f t="shared" si="2"/>
        <v>7762.5537575033986</v>
      </c>
      <c r="H26" s="794">
        <f t="shared" si="2"/>
        <v>0</v>
      </c>
      <c r="I26" s="794">
        <f t="shared" si="2"/>
        <v>0</v>
      </c>
      <c r="J26" s="794">
        <f t="shared" si="2"/>
        <v>0</v>
      </c>
      <c r="K26" s="794">
        <f t="shared" si="2"/>
        <v>294.25927084948648</v>
      </c>
      <c r="L26" s="794">
        <f t="shared" si="2"/>
        <v>0</v>
      </c>
      <c r="M26" s="794">
        <f t="shared" si="2"/>
        <v>0</v>
      </c>
      <c r="N26" s="794">
        <f t="shared" si="2"/>
        <v>0</v>
      </c>
      <c r="O26" s="794">
        <f t="shared" si="2"/>
        <v>0</v>
      </c>
      <c r="P26" s="794">
        <f t="shared" si="2"/>
        <v>0</v>
      </c>
      <c r="Q26" s="794">
        <f t="shared" si="2"/>
        <v>0</v>
      </c>
      <c r="R26" s="794">
        <f t="shared" si="2"/>
        <v>12467.094538597641</v>
      </c>
      <c r="S26" s="68"/>
    </row>
    <row r="27" spans="1:19" s="445" customFormat="1" ht="17.25" thickTop="1" thickBot="1">
      <c r="A27" s="683" t="s">
        <v>115</v>
      </c>
      <c r="B27" s="786"/>
      <c r="C27" s="684">
        <f ca="1">C22+C16+C26</f>
        <v>49488.245235327755</v>
      </c>
      <c r="D27" s="684">
        <f t="shared" ref="D27:R27" ca="1" si="3">D22+D16+D26</f>
        <v>0</v>
      </c>
      <c r="E27" s="684">
        <f t="shared" ca="1" si="3"/>
        <v>45769.75954617808</v>
      </c>
      <c r="F27" s="684">
        <f t="shared" si="3"/>
        <v>2302.7412548407815</v>
      </c>
      <c r="G27" s="684">
        <f t="shared" ca="1" si="3"/>
        <v>63685.027456295669</v>
      </c>
      <c r="H27" s="684">
        <f t="shared" si="3"/>
        <v>80098.641943585215</v>
      </c>
      <c r="I27" s="684">
        <f t="shared" si="3"/>
        <v>14044.527209623368</v>
      </c>
      <c r="J27" s="684">
        <f t="shared" si="3"/>
        <v>0</v>
      </c>
      <c r="K27" s="684">
        <f t="shared" si="3"/>
        <v>1257.9396218609547</v>
      </c>
      <c r="L27" s="684">
        <f t="shared" si="3"/>
        <v>0</v>
      </c>
      <c r="M27" s="684">
        <f t="shared" ca="1" si="3"/>
        <v>0</v>
      </c>
      <c r="N27" s="684">
        <f t="shared" si="3"/>
        <v>4207.1588463368807</v>
      </c>
      <c r="O27" s="684">
        <f t="shared" ca="1" si="3"/>
        <v>8814.6944736851892</v>
      </c>
      <c r="P27" s="684">
        <f t="shared" si="3"/>
        <v>101.61666666666667</v>
      </c>
      <c r="Q27" s="684">
        <f t="shared" si="3"/>
        <v>610.13333333333344</v>
      </c>
      <c r="R27" s="684">
        <f t="shared" ca="1" si="3"/>
        <v>270380.48558773386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2375.0275117054275</v>
      </c>
      <c r="D40" s="676">
        <f ca="1">tertiair!C20</f>
        <v>0</v>
      </c>
      <c r="E40" s="676">
        <f ca="1">tertiair!D20</f>
        <v>1926.8815879423464</v>
      </c>
      <c r="F40" s="676">
        <f>tertiair!E20</f>
        <v>32.626841447808125</v>
      </c>
      <c r="G40" s="676">
        <f ca="1">tertiair!F20</f>
        <v>560.3638775771974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4894.8998186727786</v>
      </c>
    </row>
    <row r="41" spans="1:18">
      <c r="A41" s="804" t="s">
        <v>220</v>
      </c>
      <c r="B41" s="811"/>
      <c r="C41" s="676">
        <f ca="1">huishoudens!B12</f>
        <v>6254.4615694490749</v>
      </c>
      <c r="D41" s="676">
        <f ca="1">huishoudens!C12</f>
        <v>0</v>
      </c>
      <c r="E41" s="676">
        <f>huishoudens!D12</f>
        <v>6727.8602415642581</v>
      </c>
      <c r="F41" s="676">
        <f>huishoudens!E12</f>
        <v>390.78583071252172</v>
      </c>
      <c r="G41" s="676">
        <f>huishoudens!F12</f>
        <v>14013.295528110562</v>
      </c>
      <c r="H41" s="676">
        <f>huishoudens!G12</f>
        <v>0</v>
      </c>
      <c r="I41" s="676">
        <f>huishoudens!H12</f>
        <v>0</v>
      </c>
      <c r="J41" s="676">
        <f>huishoudens!I12</f>
        <v>0</v>
      </c>
      <c r="K41" s="676">
        <f>huishoudens!J12</f>
        <v>337.11720234840556</v>
      </c>
      <c r="L41" s="676">
        <f>huishoudens!K12</f>
        <v>0</v>
      </c>
      <c r="M41" s="676">
        <f>huishoudens!L12</f>
        <v>0</v>
      </c>
      <c r="N41" s="676">
        <f>huishoudens!M12</f>
        <v>0</v>
      </c>
      <c r="O41" s="676">
        <f>huishoudens!N12</f>
        <v>0</v>
      </c>
      <c r="P41" s="676">
        <f>huishoudens!O12</f>
        <v>0</v>
      </c>
      <c r="Q41" s="751">
        <f>huishoudens!P12</f>
        <v>0</v>
      </c>
      <c r="R41" s="832">
        <f t="shared" ca="1" si="4"/>
        <v>27723.520372184827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990.59859040753031</v>
      </c>
      <c r="D43" s="676">
        <f ca="1">industrie!C22</f>
        <v>0</v>
      </c>
      <c r="E43" s="676">
        <f>industrie!D22</f>
        <v>372.56222761523378</v>
      </c>
      <c r="F43" s="676">
        <f>industrie!E22</f>
        <v>9.6408375320408641</v>
      </c>
      <c r="G43" s="676">
        <f>industrie!F22</f>
        <v>357.64107188977749</v>
      </c>
      <c r="H43" s="676">
        <f>industrie!G22</f>
        <v>0</v>
      </c>
      <c r="I43" s="676">
        <f>industrie!H22</f>
        <v>0</v>
      </c>
      <c r="J43" s="676">
        <f>industrie!I22</f>
        <v>0</v>
      </c>
      <c r="K43" s="676">
        <f>industrie!J22</f>
        <v>4.0256419096541913</v>
      </c>
      <c r="L43" s="676">
        <f>industrie!K22</f>
        <v>0</v>
      </c>
      <c r="M43" s="676">
        <f>industrie!L22</f>
        <v>0</v>
      </c>
      <c r="N43" s="676">
        <f>industrie!M22</f>
        <v>0</v>
      </c>
      <c r="O43" s="676">
        <f>industrie!N22</f>
        <v>0</v>
      </c>
      <c r="P43" s="676">
        <f>industrie!O22</f>
        <v>0</v>
      </c>
      <c r="Q43" s="751">
        <f>industrie!P22</f>
        <v>0</v>
      </c>
      <c r="R43" s="831">
        <f t="shared" ca="1" si="4"/>
        <v>1734.4683693542368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9620.0876715620325</v>
      </c>
      <c r="D46" s="709">
        <f t="shared" ref="D46:Q46" ca="1" si="5">SUM(D39:D45)</f>
        <v>0</v>
      </c>
      <c r="E46" s="709">
        <f t="shared" ca="1" si="5"/>
        <v>9027.3040571218389</v>
      </c>
      <c r="F46" s="709">
        <f t="shared" si="5"/>
        <v>433.05350969237071</v>
      </c>
      <c r="G46" s="709">
        <f t="shared" ca="1" si="5"/>
        <v>14931.300477577537</v>
      </c>
      <c r="H46" s="709">
        <f t="shared" si="5"/>
        <v>0</v>
      </c>
      <c r="I46" s="709">
        <f t="shared" si="5"/>
        <v>0</v>
      </c>
      <c r="J46" s="709">
        <f t="shared" si="5"/>
        <v>0</v>
      </c>
      <c r="K46" s="709">
        <f t="shared" si="5"/>
        <v>341.14284425805977</v>
      </c>
      <c r="L46" s="709">
        <f t="shared" si="5"/>
        <v>0</v>
      </c>
      <c r="M46" s="709">
        <f t="shared" ca="1" si="5"/>
        <v>0</v>
      </c>
      <c r="N46" s="709">
        <f t="shared" si="5"/>
        <v>0</v>
      </c>
      <c r="O46" s="709">
        <f t="shared" ca="1" si="5"/>
        <v>0</v>
      </c>
      <c r="P46" s="709">
        <f t="shared" si="5"/>
        <v>0</v>
      </c>
      <c r="Q46" s="709">
        <f t="shared" si="5"/>
        <v>0</v>
      </c>
      <c r="R46" s="709">
        <f ca="1">SUM(R39:R45)</f>
        <v>34352.888560211846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0.70113096293784249</v>
      </c>
      <c r="D49" s="676">
        <f ca="1">transport!C58</f>
        <v>0</v>
      </c>
      <c r="E49" s="676">
        <f>transport!D58</f>
        <v>0</v>
      </c>
      <c r="F49" s="676">
        <f>transport!E58</f>
        <v>0</v>
      </c>
      <c r="G49" s="676">
        <f>transport!F58</f>
        <v>0</v>
      </c>
      <c r="H49" s="676">
        <f>transport!G58</f>
        <v>179.18449321735571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179.88562418029355</v>
      </c>
    </row>
    <row r="50" spans="1:18">
      <c r="A50" s="807" t="s">
        <v>302</v>
      </c>
      <c r="B50" s="817"/>
      <c r="C50" s="986">
        <f ca="1">transport!B18</f>
        <v>0.91165442750453174</v>
      </c>
      <c r="D50" s="986">
        <f>transport!C18</f>
        <v>0</v>
      </c>
      <c r="E50" s="986">
        <f>transport!D18</f>
        <v>1.1855108445632196</v>
      </c>
      <c r="F50" s="986">
        <f>transport!E18</f>
        <v>84.581880604863017</v>
      </c>
      <c r="G50" s="986">
        <f>transport!F18</f>
        <v>0</v>
      </c>
      <c r="H50" s="986">
        <f>transport!G18</f>
        <v>21207.1529057199</v>
      </c>
      <c r="I50" s="986">
        <f>transport!H18</f>
        <v>3497.0872751962183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24790.919226793052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1.6127853904423741</v>
      </c>
      <c r="D52" s="709">
        <f t="shared" ref="D52:Q52" ca="1" si="6">SUM(D48:D51)</f>
        <v>0</v>
      </c>
      <c r="E52" s="709">
        <f t="shared" si="6"/>
        <v>1.1855108445632196</v>
      </c>
      <c r="F52" s="709">
        <f t="shared" si="6"/>
        <v>84.581880604863017</v>
      </c>
      <c r="G52" s="709">
        <f t="shared" si="6"/>
        <v>0</v>
      </c>
      <c r="H52" s="709">
        <f t="shared" si="6"/>
        <v>21386.337398937256</v>
      </c>
      <c r="I52" s="709">
        <f t="shared" si="6"/>
        <v>3497.0872751962183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24970.804850973345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495.66893034831878</v>
      </c>
      <c r="D54" s="986">
        <f ca="1">+landbouw!C12</f>
        <v>0</v>
      </c>
      <c r="E54" s="986">
        <f>+landbouw!D12</f>
        <v>30.575585558022109</v>
      </c>
      <c r="F54" s="986">
        <f>+landbouw!E12</f>
        <v>5.0868745516236258</v>
      </c>
      <c r="G54" s="986">
        <f>+landbouw!F12</f>
        <v>2072.6018532534076</v>
      </c>
      <c r="H54" s="986">
        <f>+landbouw!G12</f>
        <v>0</v>
      </c>
      <c r="I54" s="986">
        <f>+landbouw!H12</f>
        <v>0</v>
      </c>
      <c r="J54" s="986">
        <f>+landbouw!I12</f>
        <v>0</v>
      </c>
      <c r="K54" s="986">
        <f>+landbouw!J12</f>
        <v>104.16778188071821</v>
      </c>
      <c r="L54" s="986">
        <f>+landbouw!K12</f>
        <v>0</v>
      </c>
      <c r="M54" s="986">
        <f>+landbouw!L12</f>
        <v>0</v>
      </c>
      <c r="N54" s="986">
        <f>+landbouw!M12</f>
        <v>0</v>
      </c>
      <c r="O54" s="986">
        <f>+landbouw!N12</f>
        <v>0</v>
      </c>
      <c r="P54" s="986">
        <f>+landbouw!O12</f>
        <v>0</v>
      </c>
      <c r="Q54" s="987">
        <f>+landbouw!P12</f>
        <v>0</v>
      </c>
      <c r="R54" s="708">
        <f ca="1">SUM(C54:Q54)</f>
        <v>2708.1010255920905</v>
      </c>
    </row>
    <row r="55" spans="1:18" ht="15" thickBot="1">
      <c r="A55" s="807" t="s">
        <v>879</v>
      </c>
      <c r="B55" s="817"/>
      <c r="C55" s="986">
        <f ca="1">C25*'EF ele_warmte'!B12</f>
        <v>194.807967096814</v>
      </c>
      <c r="D55" s="986"/>
      <c r="E55" s="986">
        <f>E25*EF_CO2_aardgas</f>
        <v>186.42627480354884</v>
      </c>
      <c r="F55" s="986"/>
      <c r="G55" s="986"/>
      <c r="H55" s="986"/>
      <c r="I55" s="986"/>
      <c r="J55" s="986"/>
      <c r="K55" s="986"/>
      <c r="L55" s="986"/>
      <c r="M55" s="986"/>
      <c r="N55" s="986"/>
      <c r="O55" s="986"/>
      <c r="P55" s="986"/>
      <c r="Q55" s="987"/>
      <c r="R55" s="708">
        <f ca="1">SUM(C55:Q55)</f>
        <v>381.2342419003628</v>
      </c>
    </row>
    <row r="56" spans="1:18" ht="15.75" thickBot="1">
      <c r="A56" s="805" t="s">
        <v>880</v>
      </c>
      <c r="B56" s="818"/>
      <c r="C56" s="709">
        <f ca="1">SUM(C54:C55)</f>
        <v>690.47689744513275</v>
      </c>
      <c r="D56" s="709">
        <f t="shared" ref="D56:Q56" ca="1" si="7">SUM(D54:D55)</f>
        <v>0</v>
      </c>
      <c r="E56" s="709">
        <f t="shared" si="7"/>
        <v>217.00186036157095</v>
      </c>
      <c r="F56" s="709">
        <f t="shared" si="7"/>
        <v>5.0868745516236258</v>
      </c>
      <c r="G56" s="709">
        <f t="shared" si="7"/>
        <v>2072.6018532534076</v>
      </c>
      <c r="H56" s="709">
        <f t="shared" si="7"/>
        <v>0</v>
      </c>
      <c r="I56" s="709">
        <f t="shared" si="7"/>
        <v>0</v>
      </c>
      <c r="J56" s="709">
        <f t="shared" si="7"/>
        <v>0</v>
      </c>
      <c r="K56" s="709">
        <f t="shared" si="7"/>
        <v>104.16778188071821</v>
      </c>
      <c r="L56" s="709">
        <f t="shared" si="7"/>
        <v>0</v>
      </c>
      <c r="M56" s="709">
        <f t="shared" si="7"/>
        <v>0</v>
      </c>
      <c r="N56" s="709">
        <f t="shared" si="7"/>
        <v>0</v>
      </c>
      <c r="O56" s="709">
        <f t="shared" si="7"/>
        <v>0</v>
      </c>
      <c r="P56" s="709">
        <f t="shared" si="7"/>
        <v>0</v>
      </c>
      <c r="Q56" s="710">
        <f t="shared" si="7"/>
        <v>0</v>
      </c>
      <c r="R56" s="711">
        <f ca="1">SUM(R54:R55)</f>
        <v>3089.3352674924536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10312.177354397607</v>
      </c>
      <c r="D61" s="717">
        <f t="shared" ref="D61:Q61" ca="1" si="8">D46+D52+D56</f>
        <v>0</v>
      </c>
      <c r="E61" s="717">
        <f t="shared" ca="1" si="8"/>
        <v>9245.4914283279741</v>
      </c>
      <c r="F61" s="717">
        <f t="shared" si="8"/>
        <v>522.72226484885732</v>
      </c>
      <c r="G61" s="717">
        <f t="shared" ca="1" si="8"/>
        <v>17003.902330830944</v>
      </c>
      <c r="H61" s="717">
        <f t="shared" si="8"/>
        <v>21386.337398937256</v>
      </c>
      <c r="I61" s="717">
        <f t="shared" si="8"/>
        <v>3497.0872751962183</v>
      </c>
      <c r="J61" s="717">
        <f t="shared" si="8"/>
        <v>0</v>
      </c>
      <c r="K61" s="717">
        <f t="shared" si="8"/>
        <v>445.31062613877799</v>
      </c>
      <c r="L61" s="717">
        <f t="shared" si="8"/>
        <v>0</v>
      </c>
      <c r="M61" s="717">
        <f t="shared" ca="1" si="8"/>
        <v>0</v>
      </c>
      <c r="N61" s="717">
        <f t="shared" si="8"/>
        <v>0</v>
      </c>
      <c r="O61" s="717">
        <f t="shared" ca="1" si="8"/>
        <v>0</v>
      </c>
      <c r="P61" s="717">
        <f t="shared" si="8"/>
        <v>0</v>
      </c>
      <c r="Q61" s="717">
        <f t="shared" si="8"/>
        <v>0</v>
      </c>
      <c r="R61" s="717">
        <f ca="1">R46+R52+R56</f>
        <v>62413.028678677641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0.20837629835854718</v>
      </c>
      <c r="D63" s="761">
        <f t="shared" ca="1" si="9"/>
        <v>0</v>
      </c>
      <c r="E63" s="988">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2826.809242578408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2826.809242578408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30015.225429752096</v>
      </c>
      <c r="C4" s="449">
        <f>huishoudens!C8</f>
        <v>0</v>
      </c>
      <c r="D4" s="449">
        <f>huishoudens!D8</f>
        <v>33306.238819625039</v>
      </c>
      <c r="E4" s="449">
        <f>huishoudens!E8</f>
        <v>1721.5234833150737</v>
      </c>
      <c r="F4" s="449">
        <f>huishoudens!F8</f>
        <v>52484.252914271769</v>
      </c>
      <c r="G4" s="449">
        <f>huishoudens!G8</f>
        <v>0</v>
      </c>
      <c r="H4" s="449">
        <f>huishoudens!H8</f>
        <v>0</v>
      </c>
      <c r="I4" s="449">
        <f>huishoudens!I8</f>
        <v>0</v>
      </c>
      <c r="J4" s="449">
        <f>huishoudens!J8</f>
        <v>952.30848121018516</v>
      </c>
      <c r="K4" s="449">
        <f>huishoudens!K8</f>
        <v>0</v>
      </c>
      <c r="L4" s="449">
        <f>huishoudens!L8</f>
        <v>0</v>
      </c>
      <c r="M4" s="449">
        <f>huishoudens!M8</f>
        <v>0</v>
      </c>
      <c r="N4" s="449">
        <f>huishoudens!N8</f>
        <v>8055.3016127830906</v>
      </c>
      <c r="O4" s="449">
        <f>huishoudens!O8</f>
        <v>100.05333333333334</v>
      </c>
      <c r="P4" s="450">
        <f>huishoudens!P8</f>
        <v>552.93333333333339</v>
      </c>
      <c r="Q4" s="451">
        <f>SUM(B4:P4)</f>
        <v>127187.83740762393</v>
      </c>
    </row>
    <row r="5" spans="1:17">
      <c r="A5" s="448" t="s">
        <v>155</v>
      </c>
      <c r="B5" s="449">
        <f ca="1">tertiair!B16</f>
        <v>10316.053467539004</v>
      </c>
      <c r="C5" s="449">
        <f ca="1">tertiair!C16</f>
        <v>0</v>
      </c>
      <c r="D5" s="449">
        <f ca="1">tertiair!D16</f>
        <v>9539.0177620908235</v>
      </c>
      <c r="E5" s="449">
        <f>tertiair!E16</f>
        <v>143.73057906523402</v>
      </c>
      <c r="F5" s="449">
        <f ca="1">tertiair!F16</f>
        <v>2098.7411145213387</v>
      </c>
      <c r="G5" s="449">
        <f>tertiair!G16</f>
        <v>0</v>
      </c>
      <c r="H5" s="449">
        <f>tertiair!H16</f>
        <v>0</v>
      </c>
      <c r="I5" s="449">
        <f>tertiair!I16</f>
        <v>0</v>
      </c>
      <c r="J5" s="449">
        <f>tertiair!J16</f>
        <v>0</v>
      </c>
      <c r="K5" s="449">
        <f>tertiair!K16</f>
        <v>0</v>
      </c>
      <c r="L5" s="449">
        <f ca="1">tertiair!L16</f>
        <v>0</v>
      </c>
      <c r="M5" s="449">
        <f>tertiair!M16</f>
        <v>0</v>
      </c>
      <c r="N5" s="449">
        <f ca="1">tertiair!N16</f>
        <v>582.30873916410985</v>
      </c>
      <c r="O5" s="449">
        <f>tertiair!O16</f>
        <v>1.5633333333333335</v>
      </c>
      <c r="P5" s="450">
        <f>tertiair!P16</f>
        <v>57.2</v>
      </c>
      <c r="Q5" s="448">
        <f t="shared" ref="Q5:Q14" ca="1" si="0">SUM(B5:P5)</f>
        <v>22738.614995713844</v>
      </c>
    </row>
    <row r="6" spans="1:17">
      <c r="A6" s="448" t="s">
        <v>193</v>
      </c>
      <c r="B6" s="449">
        <f>'openbare verlichting'!B8</f>
        <v>1081.7280000000001</v>
      </c>
      <c r="C6" s="449"/>
      <c r="D6" s="449"/>
      <c r="E6" s="449"/>
      <c r="F6" s="449"/>
      <c r="G6" s="449"/>
      <c r="H6" s="449"/>
      <c r="I6" s="449"/>
      <c r="J6" s="449"/>
      <c r="K6" s="449"/>
      <c r="L6" s="449"/>
      <c r="M6" s="449"/>
      <c r="N6" s="449"/>
      <c r="O6" s="449"/>
      <c r="P6" s="450"/>
      <c r="Q6" s="448">
        <f t="shared" si="0"/>
        <v>1081.7280000000001</v>
      </c>
    </row>
    <row r="7" spans="1:17">
      <c r="A7" s="448" t="s">
        <v>111</v>
      </c>
      <c r="B7" s="449">
        <f>landbouw!B8</f>
        <v>2378.7202971397223</v>
      </c>
      <c r="C7" s="449">
        <f>landbouw!C8</f>
        <v>0</v>
      </c>
      <c r="D7" s="449">
        <f>landbouw!D8</f>
        <v>151.3642849407035</v>
      </c>
      <c r="E7" s="449">
        <f>landbouw!E8</f>
        <v>22.409138993936676</v>
      </c>
      <c r="F7" s="449">
        <f>landbouw!F8</f>
        <v>7762.5537575033986</v>
      </c>
      <c r="G7" s="449">
        <f>landbouw!G8</f>
        <v>0</v>
      </c>
      <c r="H7" s="449">
        <f>landbouw!H8</f>
        <v>0</v>
      </c>
      <c r="I7" s="449">
        <f>landbouw!I8</f>
        <v>0</v>
      </c>
      <c r="J7" s="449">
        <f>landbouw!J8</f>
        <v>294.25927084948648</v>
      </c>
      <c r="K7" s="449">
        <f>landbouw!K8</f>
        <v>0</v>
      </c>
      <c r="L7" s="449">
        <f>landbouw!L8</f>
        <v>0</v>
      </c>
      <c r="M7" s="449">
        <f>landbouw!M8</f>
        <v>0</v>
      </c>
      <c r="N7" s="449">
        <f>landbouw!N8</f>
        <v>0</v>
      </c>
      <c r="O7" s="449">
        <f>landbouw!O8</f>
        <v>0</v>
      </c>
      <c r="P7" s="450">
        <f>landbouw!P8</f>
        <v>0</v>
      </c>
      <c r="Q7" s="448">
        <f t="shared" si="0"/>
        <v>10609.306749427247</v>
      </c>
    </row>
    <row r="8" spans="1:17">
      <c r="A8" s="448" t="s">
        <v>671</v>
      </c>
      <c r="B8" s="449">
        <f>industrie!B18</f>
        <v>4753.89282855498</v>
      </c>
      <c r="C8" s="449">
        <f>industrie!C18</f>
        <v>0</v>
      </c>
      <c r="D8" s="449">
        <f>industrie!D18</f>
        <v>1844.3674634417512</v>
      </c>
      <c r="E8" s="449">
        <f>industrie!E18</f>
        <v>42.47064992088486</v>
      </c>
      <c r="F8" s="449">
        <f>industrie!F18</f>
        <v>1339.4796699991666</v>
      </c>
      <c r="G8" s="449">
        <f>industrie!G18</f>
        <v>0</v>
      </c>
      <c r="H8" s="449">
        <f>industrie!H18</f>
        <v>0</v>
      </c>
      <c r="I8" s="449">
        <f>industrie!I18</f>
        <v>0</v>
      </c>
      <c r="J8" s="449">
        <f>industrie!J18</f>
        <v>11.371869801283028</v>
      </c>
      <c r="K8" s="449">
        <f>industrie!K18</f>
        <v>0</v>
      </c>
      <c r="L8" s="449">
        <f>industrie!L18</f>
        <v>0</v>
      </c>
      <c r="M8" s="449">
        <f>industrie!M18</f>
        <v>0</v>
      </c>
      <c r="N8" s="449">
        <f>industrie!N18</f>
        <v>177.0841217379886</v>
      </c>
      <c r="O8" s="449">
        <f>industrie!O18</f>
        <v>0</v>
      </c>
      <c r="P8" s="450">
        <f>industrie!P18</f>
        <v>0</v>
      </c>
      <c r="Q8" s="448">
        <f t="shared" si="0"/>
        <v>8168.666603456054</v>
      </c>
    </row>
    <row r="9" spans="1:17" s="454" customFormat="1">
      <c r="A9" s="452" t="s">
        <v>568</v>
      </c>
      <c r="B9" s="453">
        <f>transport!B14</f>
        <v>4.3750389784536523</v>
      </c>
      <c r="C9" s="453">
        <f>transport!C14</f>
        <v>0</v>
      </c>
      <c r="D9" s="453">
        <f>transport!D14</f>
        <v>5.8688655671446517</v>
      </c>
      <c r="E9" s="453">
        <f>transport!E14</f>
        <v>372.60740354565206</v>
      </c>
      <c r="F9" s="453">
        <f>transport!F14</f>
        <v>0</v>
      </c>
      <c r="G9" s="453">
        <f>transport!G14</f>
        <v>79427.538972733702</v>
      </c>
      <c r="H9" s="453">
        <f>transport!H14</f>
        <v>14044.527209623368</v>
      </c>
      <c r="I9" s="453">
        <f>transport!I14</f>
        <v>0</v>
      </c>
      <c r="J9" s="453">
        <f>transport!J14</f>
        <v>0</v>
      </c>
      <c r="K9" s="453">
        <f>transport!K14</f>
        <v>0</v>
      </c>
      <c r="L9" s="453">
        <f>transport!L14</f>
        <v>0</v>
      </c>
      <c r="M9" s="453">
        <f>transport!M14</f>
        <v>4177.4968097900301</v>
      </c>
      <c r="N9" s="453">
        <f>transport!N14</f>
        <v>0</v>
      </c>
      <c r="O9" s="453">
        <f>transport!O14</f>
        <v>0</v>
      </c>
      <c r="P9" s="453">
        <f>transport!P14</f>
        <v>0</v>
      </c>
      <c r="Q9" s="452">
        <f>SUM(B9:P9)</f>
        <v>98032.41430023835</v>
      </c>
    </row>
    <row r="10" spans="1:17">
      <c r="A10" s="448" t="s">
        <v>558</v>
      </c>
      <c r="B10" s="449">
        <f>transport!B54</f>
        <v>3.3647347057265904</v>
      </c>
      <c r="C10" s="449">
        <f>transport!C54</f>
        <v>0</v>
      </c>
      <c r="D10" s="449">
        <f>transport!D54</f>
        <v>0</v>
      </c>
      <c r="E10" s="449">
        <f>transport!E54</f>
        <v>0</v>
      </c>
      <c r="F10" s="449">
        <f>transport!F54</f>
        <v>0</v>
      </c>
      <c r="G10" s="449">
        <f>transport!G54</f>
        <v>671.10297085151944</v>
      </c>
      <c r="H10" s="449">
        <f>transport!H54</f>
        <v>0</v>
      </c>
      <c r="I10" s="449">
        <f>transport!I54</f>
        <v>0</v>
      </c>
      <c r="J10" s="449">
        <f>transport!J54</f>
        <v>0</v>
      </c>
      <c r="K10" s="449">
        <f>transport!K54</f>
        <v>0</v>
      </c>
      <c r="L10" s="449">
        <f>transport!L54</f>
        <v>0</v>
      </c>
      <c r="M10" s="449">
        <f>transport!M54</f>
        <v>29.662036546850882</v>
      </c>
      <c r="N10" s="449">
        <f>transport!N54</f>
        <v>0</v>
      </c>
      <c r="O10" s="449">
        <f>transport!O54</f>
        <v>0</v>
      </c>
      <c r="P10" s="450">
        <f>transport!P54</f>
        <v>0</v>
      </c>
      <c r="Q10" s="448">
        <f t="shared" si="0"/>
        <v>704.12974210409698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934.88543865777604</v>
      </c>
      <c r="C14" s="456"/>
      <c r="D14" s="456">
        <f>'SEAP template'!E25</f>
        <v>922.902350512618</v>
      </c>
      <c r="E14" s="456"/>
      <c r="F14" s="456"/>
      <c r="G14" s="456"/>
      <c r="H14" s="456"/>
      <c r="I14" s="456"/>
      <c r="J14" s="456"/>
      <c r="K14" s="456"/>
      <c r="L14" s="456"/>
      <c r="M14" s="456"/>
      <c r="N14" s="456"/>
      <c r="O14" s="456"/>
      <c r="P14" s="457"/>
      <c r="Q14" s="448">
        <f t="shared" si="0"/>
        <v>1857.787789170394</v>
      </c>
    </row>
    <row r="15" spans="1:17" s="461" customFormat="1">
      <c r="A15" s="458" t="s">
        <v>562</v>
      </c>
      <c r="B15" s="459">
        <f ca="1">SUM(B4:B14)</f>
        <v>49488.245235327755</v>
      </c>
      <c r="C15" s="459">
        <f t="shared" ref="C15:Q15" ca="1" si="1">SUM(C4:C14)</f>
        <v>0</v>
      </c>
      <c r="D15" s="459">
        <f t="shared" ca="1" si="1"/>
        <v>45769.75954617808</v>
      </c>
      <c r="E15" s="459">
        <f t="shared" si="1"/>
        <v>2302.7412548407815</v>
      </c>
      <c r="F15" s="459">
        <f t="shared" ca="1" si="1"/>
        <v>63685.027456295669</v>
      </c>
      <c r="G15" s="459">
        <f t="shared" si="1"/>
        <v>80098.641943585215</v>
      </c>
      <c r="H15" s="459">
        <f t="shared" si="1"/>
        <v>14044.527209623368</v>
      </c>
      <c r="I15" s="459">
        <f t="shared" si="1"/>
        <v>0</v>
      </c>
      <c r="J15" s="459">
        <f t="shared" si="1"/>
        <v>1257.9396218609547</v>
      </c>
      <c r="K15" s="459">
        <f t="shared" si="1"/>
        <v>0</v>
      </c>
      <c r="L15" s="459">
        <f t="shared" ca="1" si="1"/>
        <v>0</v>
      </c>
      <c r="M15" s="459">
        <f t="shared" si="1"/>
        <v>4207.1588463368807</v>
      </c>
      <c r="N15" s="459">
        <f t="shared" ca="1" si="1"/>
        <v>8814.6944736851892</v>
      </c>
      <c r="O15" s="459">
        <f t="shared" si="1"/>
        <v>101.61666666666667</v>
      </c>
      <c r="P15" s="459">
        <f t="shared" si="1"/>
        <v>610.13333333333344</v>
      </c>
      <c r="Q15" s="459">
        <f t="shared" ca="1" si="1"/>
        <v>270380.48558773391</v>
      </c>
    </row>
    <row r="17" spans="1:17">
      <c r="A17" s="462" t="s">
        <v>563</v>
      </c>
      <c r="B17" s="766">
        <f ca="1">huishoudens!B10</f>
        <v>0.20837629835854718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6254.4615694490749</v>
      </c>
      <c r="C22" s="449">
        <f t="shared" ref="C22:C32" ca="1" si="3">C4*$C$17</f>
        <v>0</v>
      </c>
      <c r="D22" s="449">
        <f t="shared" ref="D22:D32" si="4">D4*$D$17</f>
        <v>6727.8602415642581</v>
      </c>
      <c r="E22" s="449">
        <f t="shared" ref="E22:E32" si="5">E4*$E$17</f>
        <v>390.78583071252172</v>
      </c>
      <c r="F22" s="449">
        <f t="shared" ref="F22:F32" si="6">F4*$F$17</f>
        <v>14013.295528110562</v>
      </c>
      <c r="G22" s="449">
        <f t="shared" ref="G22:G32" si="7">G4*$G$17</f>
        <v>0</v>
      </c>
      <c r="H22" s="449">
        <f t="shared" ref="H22:H32" si="8">H4*$H$17</f>
        <v>0</v>
      </c>
      <c r="I22" s="449">
        <f t="shared" ref="I22:I32" si="9">I4*$I$17</f>
        <v>0</v>
      </c>
      <c r="J22" s="449">
        <f t="shared" ref="J22:J32" si="10">J4*$J$17</f>
        <v>337.11720234840556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27723.520372184827</v>
      </c>
    </row>
    <row r="23" spans="1:17">
      <c r="A23" s="448" t="s">
        <v>155</v>
      </c>
      <c r="B23" s="449">
        <f t="shared" ca="1" si="2"/>
        <v>2149.6210352346329</v>
      </c>
      <c r="C23" s="449">
        <f t="shared" ca="1" si="3"/>
        <v>0</v>
      </c>
      <c r="D23" s="449">
        <f t="shared" ca="1" si="4"/>
        <v>1926.8815879423464</v>
      </c>
      <c r="E23" s="449">
        <f t="shared" si="5"/>
        <v>32.626841447808125</v>
      </c>
      <c r="F23" s="449">
        <f t="shared" ca="1" si="6"/>
        <v>560.3638775771974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4669.493342201984</v>
      </c>
    </row>
    <row r="24" spans="1:17">
      <c r="A24" s="448" t="s">
        <v>193</v>
      </c>
      <c r="B24" s="449">
        <f t="shared" ca="1" si="2"/>
        <v>225.40647647079453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225.40647647079453</v>
      </c>
    </row>
    <row r="25" spans="1:17">
      <c r="A25" s="448" t="s">
        <v>111</v>
      </c>
      <c r="B25" s="449">
        <f t="shared" ca="1" si="2"/>
        <v>495.66893034831878</v>
      </c>
      <c r="C25" s="449">
        <f t="shared" ca="1" si="3"/>
        <v>0</v>
      </c>
      <c r="D25" s="449">
        <f t="shared" si="4"/>
        <v>30.575585558022109</v>
      </c>
      <c r="E25" s="449">
        <f t="shared" si="5"/>
        <v>5.0868745516236258</v>
      </c>
      <c r="F25" s="449">
        <f t="shared" si="6"/>
        <v>2072.6018532534076</v>
      </c>
      <c r="G25" s="449">
        <f t="shared" si="7"/>
        <v>0</v>
      </c>
      <c r="H25" s="449">
        <f t="shared" si="8"/>
        <v>0</v>
      </c>
      <c r="I25" s="449">
        <f t="shared" si="9"/>
        <v>0</v>
      </c>
      <c r="J25" s="449">
        <f t="shared" si="10"/>
        <v>104.16778188071821</v>
      </c>
      <c r="K25" s="449">
        <f t="shared" si="11"/>
        <v>0</v>
      </c>
      <c r="L25" s="449">
        <f t="shared" si="12"/>
        <v>0</v>
      </c>
      <c r="M25" s="449">
        <f t="shared" si="13"/>
        <v>0</v>
      </c>
      <c r="N25" s="449">
        <f t="shared" si="14"/>
        <v>0</v>
      </c>
      <c r="O25" s="449">
        <f t="shared" si="15"/>
        <v>0</v>
      </c>
      <c r="P25" s="450">
        <f t="shared" si="16"/>
        <v>0</v>
      </c>
      <c r="Q25" s="448">
        <f t="shared" ca="1" si="17"/>
        <v>2708.1010255920905</v>
      </c>
    </row>
    <row r="26" spans="1:17">
      <c r="A26" s="448" t="s">
        <v>671</v>
      </c>
      <c r="B26" s="449">
        <f t="shared" ca="1" si="2"/>
        <v>990.59859040753031</v>
      </c>
      <c r="C26" s="449">
        <f t="shared" ca="1" si="3"/>
        <v>0</v>
      </c>
      <c r="D26" s="449">
        <f t="shared" si="4"/>
        <v>372.56222761523378</v>
      </c>
      <c r="E26" s="449">
        <f t="shared" si="5"/>
        <v>9.6408375320408641</v>
      </c>
      <c r="F26" s="449">
        <f t="shared" si="6"/>
        <v>357.64107188977749</v>
      </c>
      <c r="G26" s="449">
        <f t="shared" si="7"/>
        <v>0</v>
      </c>
      <c r="H26" s="449">
        <f t="shared" si="8"/>
        <v>0</v>
      </c>
      <c r="I26" s="449">
        <f t="shared" si="9"/>
        <v>0</v>
      </c>
      <c r="J26" s="449">
        <f t="shared" si="10"/>
        <v>4.0256419096541913</v>
      </c>
      <c r="K26" s="449">
        <f t="shared" si="11"/>
        <v>0</v>
      </c>
      <c r="L26" s="449">
        <f t="shared" si="12"/>
        <v>0</v>
      </c>
      <c r="M26" s="449">
        <f t="shared" si="13"/>
        <v>0</v>
      </c>
      <c r="N26" s="449">
        <f t="shared" si="14"/>
        <v>0</v>
      </c>
      <c r="O26" s="449">
        <f t="shared" si="15"/>
        <v>0</v>
      </c>
      <c r="P26" s="450">
        <f t="shared" si="16"/>
        <v>0</v>
      </c>
      <c r="Q26" s="448">
        <f t="shared" ca="1" si="17"/>
        <v>1734.4683693542368</v>
      </c>
    </row>
    <row r="27" spans="1:17" s="454" customFormat="1">
      <c r="A27" s="452" t="s">
        <v>568</v>
      </c>
      <c r="B27" s="760">
        <f t="shared" ca="1" si="2"/>
        <v>0.91165442750453174</v>
      </c>
      <c r="C27" s="453">
        <f t="shared" ca="1" si="3"/>
        <v>0</v>
      </c>
      <c r="D27" s="453">
        <f t="shared" si="4"/>
        <v>1.1855108445632196</v>
      </c>
      <c r="E27" s="453">
        <f t="shared" si="5"/>
        <v>84.581880604863017</v>
      </c>
      <c r="F27" s="453">
        <f t="shared" si="6"/>
        <v>0</v>
      </c>
      <c r="G27" s="453">
        <f t="shared" si="7"/>
        <v>21207.1529057199</v>
      </c>
      <c r="H27" s="453">
        <f t="shared" si="8"/>
        <v>3497.0872751962183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24790.919226793052</v>
      </c>
    </row>
    <row r="28" spans="1:17">
      <c r="A28" s="448" t="s">
        <v>558</v>
      </c>
      <c r="B28" s="449">
        <f t="shared" ca="1" si="2"/>
        <v>0.70113096293784249</v>
      </c>
      <c r="C28" s="449">
        <f t="shared" ca="1" si="3"/>
        <v>0</v>
      </c>
      <c r="D28" s="449">
        <f t="shared" si="4"/>
        <v>0</v>
      </c>
      <c r="E28" s="449">
        <f t="shared" si="5"/>
        <v>0</v>
      </c>
      <c r="F28" s="449">
        <f t="shared" si="6"/>
        <v>0</v>
      </c>
      <c r="G28" s="449">
        <f t="shared" si="7"/>
        <v>179.18449321735571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179.88562418029355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194.807967096814</v>
      </c>
      <c r="C32" s="449">
        <f t="shared" ca="1" si="3"/>
        <v>0</v>
      </c>
      <c r="D32" s="449">
        <f t="shared" si="4"/>
        <v>186.42627480354884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381.2342419003628</v>
      </c>
    </row>
    <row r="33" spans="1:17" s="461" customFormat="1">
      <c r="A33" s="458" t="s">
        <v>562</v>
      </c>
      <c r="B33" s="459">
        <f ca="1">SUM(B22:B32)</f>
        <v>10312.177354397607</v>
      </c>
      <c r="C33" s="459">
        <f t="shared" ref="C33:Q33" ca="1" si="18">SUM(C22:C32)</f>
        <v>0</v>
      </c>
      <c r="D33" s="459">
        <f t="shared" ca="1" si="18"/>
        <v>9245.4914283279741</v>
      </c>
      <c r="E33" s="459">
        <f t="shared" si="18"/>
        <v>522.72226484885732</v>
      </c>
      <c r="F33" s="459">
        <f t="shared" ca="1" si="18"/>
        <v>17003.902330830948</v>
      </c>
      <c r="G33" s="459">
        <f t="shared" si="18"/>
        <v>21386.337398937256</v>
      </c>
      <c r="H33" s="459">
        <f t="shared" si="18"/>
        <v>3497.0872751962183</v>
      </c>
      <c r="I33" s="459">
        <f t="shared" si="18"/>
        <v>0</v>
      </c>
      <c r="J33" s="459">
        <f t="shared" si="18"/>
        <v>445.31062613877799</v>
      </c>
      <c r="K33" s="459">
        <f t="shared" si="18"/>
        <v>0</v>
      </c>
      <c r="L33" s="459">
        <f t="shared" ca="1" si="18"/>
        <v>0</v>
      </c>
      <c r="M33" s="459">
        <f t="shared" si="18"/>
        <v>0</v>
      </c>
      <c r="N33" s="459">
        <f t="shared" ca="1" si="18"/>
        <v>0</v>
      </c>
      <c r="O33" s="459">
        <f t="shared" si="18"/>
        <v>0</v>
      </c>
      <c r="P33" s="459">
        <f t="shared" si="18"/>
        <v>0</v>
      </c>
      <c r="Q33" s="459">
        <f t="shared" ca="1" si="18"/>
        <v>62413.028678677641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2826.809242578408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2826.809242578408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0.20837629835854718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0.20837629835854718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0.20837629835854718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0.20837629835854718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5255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2520</v>
      </c>
      <c r="C14" s="327"/>
      <c r="D14" s="327"/>
      <c r="E14" s="327"/>
      <c r="F14" s="327"/>
    </row>
    <row r="15" spans="1:6">
      <c r="A15" s="1295" t="s">
        <v>183</v>
      </c>
      <c r="B15" s="1296">
        <v>17</v>
      </c>
      <c r="C15" s="327"/>
      <c r="D15" s="327"/>
      <c r="E15" s="327"/>
      <c r="F15" s="327"/>
    </row>
    <row r="16" spans="1:6">
      <c r="A16" s="1295" t="s">
        <v>6</v>
      </c>
      <c r="B16" s="1296">
        <v>827</v>
      </c>
      <c r="C16" s="327"/>
      <c r="D16" s="327"/>
      <c r="E16" s="327"/>
      <c r="F16" s="327"/>
    </row>
    <row r="17" spans="1:6">
      <c r="A17" s="1295" t="s">
        <v>7</v>
      </c>
      <c r="B17" s="1296">
        <v>578</v>
      </c>
      <c r="C17" s="327"/>
      <c r="D17" s="327"/>
      <c r="E17" s="327"/>
      <c r="F17" s="327"/>
    </row>
    <row r="18" spans="1:6">
      <c r="A18" s="1295" t="s">
        <v>8</v>
      </c>
      <c r="B18" s="1296">
        <v>1069</v>
      </c>
      <c r="C18" s="327"/>
      <c r="D18" s="327"/>
      <c r="E18" s="327"/>
      <c r="F18" s="327"/>
    </row>
    <row r="19" spans="1:6">
      <c r="A19" s="1295" t="s">
        <v>9</v>
      </c>
      <c r="B19" s="1296">
        <v>1125</v>
      </c>
      <c r="C19" s="327"/>
      <c r="D19" s="327"/>
      <c r="E19" s="327"/>
      <c r="F19" s="327"/>
    </row>
    <row r="20" spans="1:6">
      <c r="A20" s="1295" t="s">
        <v>10</v>
      </c>
      <c r="B20" s="1296">
        <v>658</v>
      </c>
      <c r="C20" s="327"/>
      <c r="D20" s="327"/>
      <c r="E20" s="327"/>
      <c r="F20" s="327"/>
    </row>
    <row r="21" spans="1:6">
      <c r="A21" s="1295" t="s">
        <v>11</v>
      </c>
      <c r="B21" s="1296">
        <v>585</v>
      </c>
      <c r="C21" s="327"/>
      <c r="D21" s="327"/>
      <c r="E21" s="327"/>
      <c r="F21" s="327"/>
    </row>
    <row r="22" spans="1:6">
      <c r="A22" s="1295" t="s">
        <v>12</v>
      </c>
      <c r="B22" s="1296">
        <v>8277</v>
      </c>
      <c r="C22" s="327"/>
      <c r="D22" s="327"/>
      <c r="E22" s="327"/>
      <c r="F22" s="327"/>
    </row>
    <row r="23" spans="1:6">
      <c r="A23" s="1295" t="s">
        <v>13</v>
      </c>
      <c r="B23" s="1296">
        <v>44</v>
      </c>
      <c r="C23" s="327"/>
      <c r="D23" s="327"/>
      <c r="E23" s="327"/>
      <c r="F23" s="327"/>
    </row>
    <row r="24" spans="1:6">
      <c r="A24" s="1295" t="s">
        <v>14</v>
      </c>
      <c r="B24" s="1296">
        <v>3</v>
      </c>
      <c r="C24" s="327"/>
      <c r="D24" s="327"/>
      <c r="E24" s="327"/>
      <c r="F24" s="327"/>
    </row>
    <row r="25" spans="1:6">
      <c r="A25" s="1295" t="s">
        <v>15</v>
      </c>
      <c r="B25" s="1296">
        <v>175</v>
      </c>
      <c r="C25" s="327"/>
      <c r="D25" s="327"/>
      <c r="E25" s="327"/>
      <c r="F25" s="327"/>
    </row>
    <row r="26" spans="1:6">
      <c r="A26" s="1295" t="s">
        <v>16</v>
      </c>
      <c r="B26" s="1296">
        <v>135</v>
      </c>
      <c r="C26" s="327"/>
      <c r="D26" s="327"/>
      <c r="E26" s="327"/>
      <c r="F26" s="327"/>
    </row>
    <row r="27" spans="1:6">
      <c r="A27" s="1295" t="s">
        <v>17</v>
      </c>
      <c r="B27" s="1296">
        <v>6</v>
      </c>
      <c r="C27" s="327"/>
      <c r="D27" s="327"/>
      <c r="E27" s="327"/>
      <c r="F27" s="327"/>
    </row>
    <row r="28" spans="1:6" s="44" customFormat="1">
      <c r="A28" s="1297" t="s">
        <v>18</v>
      </c>
      <c r="B28" s="1298">
        <v>15325</v>
      </c>
      <c r="C28" s="333"/>
      <c r="D28" s="333"/>
      <c r="E28" s="333"/>
      <c r="F28" s="333"/>
    </row>
    <row r="29" spans="1:6">
      <c r="A29" s="1297" t="s">
        <v>961</v>
      </c>
      <c r="B29" s="1298">
        <v>212</v>
      </c>
      <c r="C29" s="333"/>
      <c r="D29" s="333"/>
      <c r="E29" s="333"/>
      <c r="F29" s="333"/>
    </row>
    <row r="30" spans="1:6">
      <c r="A30" s="1290" t="s">
        <v>962</v>
      </c>
      <c r="B30" s="1299">
        <v>53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1915</v>
      </c>
    </row>
    <row r="39" spans="1:6">
      <c r="A39" s="1295" t="s">
        <v>29</v>
      </c>
      <c r="B39" s="1295" t="s">
        <v>30</v>
      </c>
      <c r="C39" s="1296">
        <v>2017</v>
      </c>
      <c r="D39" s="1296">
        <v>36924876.740160801</v>
      </c>
      <c r="E39" s="1296">
        <v>5010</v>
      </c>
      <c r="F39" s="1296">
        <v>27416746.540164601</v>
      </c>
    </row>
    <row r="40" spans="1:6">
      <c r="A40" s="1295" t="s">
        <v>29</v>
      </c>
      <c r="B40" s="1295" t="s">
        <v>28</v>
      </c>
      <c r="C40" s="1296">
        <v>0</v>
      </c>
      <c r="D40" s="1296">
        <v>0</v>
      </c>
      <c r="E40" s="1296">
        <v>0</v>
      </c>
      <c r="F40" s="1296">
        <v>0</v>
      </c>
    </row>
    <row r="41" spans="1:6">
      <c r="A41" s="1295" t="s">
        <v>31</v>
      </c>
      <c r="B41" s="1295" t="s">
        <v>32</v>
      </c>
      <c r="C41" s="1296">
        <v>25</v>
      </c>
      <c r="D41" s="1296">
        <v>675748.24873828399</v>
      </c>
      <c r="E41" s="1296">
        <v>120</v>
      </c>
      <c r="F41" s="1296">
        <v>942650.61241108098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12</v>
      </c>
      <c r="F44" s="1296">
        <v>106754.73068174699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57883.140750797298</v>
      </c>
    </row>
    <row r="48" spans="1:6">
      <c r="A48" s="1295" t="s">
        <v>31</v>
      </c>
      <c r="B48" s="1295" t="s">
        <v>28</v>
      </c>
      <c r="C48" s="1296">
        <v>19</v>
      </c>
      <c r="D48" s="1296">
        <v>1082221.0586258899</v>
      </c>
      <c r="E48" s="1296">
        <v>30</v>
      </c>
      <c r="F48" s="1296">
        <v>1894153.3556679899</v>
      </c>
    </row>
    <row r="49" spans="1:6">
      <c r="A49" s="1295" t="s">
        <v>31</v>
      </c>
      <c r="B49" s="1295" t="s">
        <v>39</v>
      </c>
      <c r="C49" s="1296">
        <v>0</v>
      </c>
      <c r="D49" s="1296">
        <v>0</v>
      </c>
      <c r="E49" s="1296">
        <v>3</v>
      </c>
      <c r="F49" s="1296">
        <v>21970.5010707449</v>
      </c>
    </row>
    <row r="50" spans="1:6">
      <c r="A50" s="1295" t="s">
        <v>31</v>
      </c>
      <c r="B50" s="1295" t="s">
        <v>40</v>
      </c>
      <c r="C50" s="1296">
        <v>3</v>
      </c>
      <c r="D50" s="1296">
        <v>286783.97804796702</v>
      </c>
      <c r="E50" s="1296">
        <v>15</v>
      </c>
      <c r="F50" s="1296">
        <v>1730480.4879726199</v>
      </c>
    </row>
    <row r="51" spans="1:6">
      <c r="A51" s="1295" t="s">
        <v>41</v>
      </c>
      <c r="B51" s="1295" t="s">
        <v>42</v>
      </c>
      <c r="C51" s="1296">
        <v>4</v>
      </c>
      <c r="D51" s="1296">
        <v>68990.369314521799</v>
      </c>
      <c r="E51" s="1296">
        <v>121</v>
      </c>
      <c r="F51" s="1296">
        <v>2334274.1446877201</v>
      </c>
    </row>
    <row r="52" spans="1:6">
      <c r="A52" s="1295" t="s">
        <v>41</v>
      </c>
      <c r="B52" s="1295" t="s">
        <v>28</v>
      </c>
      <c r="C52" s="1296">
        <v>5</v>
      </c>
      <c r="D52" s="1296">
        <v>98819.259222843495</v>
      </c>
      <c r="E52" s="1296">
        <v>3</v>
      </c>
      <c r="F52" s="1296">
        <v>44446.152452002403</v>
      </c>
    </row>
    <row r="53" spans="1:6">
      <c r="A53" s="1295" t="s">
        <v>43</v>
      </c>
      <c r="B53" s="1295" t="s">
        <v>44</v>
      </c>
      <c r="C53" s="1296">
        <v>44</v>
      </c>
      <c r="D53" s="1296">
        <v>922902.35051261797</v>
      </c>
      <c r="E53" s="1296">
        <v>136</v>
      </c>
      <c r="F53" s="1296">
        <v>934885.43865777599</v>
      </c>
    </row>
    <row r="54" spans="1:6">
      <c r="A54" s="1295" t="s">
        <v>45</v>
      </c>
      <c r="B54" s="1295" t="s">
        <v>46</v>
      </c>
      <c r="C54" s="1296">
        <v>0</v>
      </c>
      <c r="D54" s="1296">
        <v>0</v>
      </c>
      <c r="E54" s="1296">
        <v>6</v>
      </c>
      <c r="F54" s="1296">
        <v>1081728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v>
      </c>
      <c r="D57" s="1296">
        <v>388218.07436317799</v>
      </c>
      <c r="E57" s="1296">
        <v>41</v>
      </c>
      <c r="F57" s="1296">
        <v>666111.13023303798</v>
      </c>
    </row>
    <row r="58" spans="1:6">
      <c r="A58" s="1295" t="s">
        <v>48</v>
      </c>
      <c r="B58" s="1295" t="s">
        <v>50</v>
      </c>
      <c r="C58" s="1296">
        <v>6</v>
      </c>
      <c r="D58" s="1296">
        <v>255058.387772822</v>
      </c>
      <c r="E58" s="1296">
        <v>26</v>
      </c>
      <c r="F58" s="1296">
        <v>200906.55533190601</v>
      </c>
    </row>
    <row r="59" spans="1:6">
      <c r="A59" s="1295" t="s">
        <v>48</v>
      </c>
      <c r="B59" s="1295" t="s">
        <v>51</v>
      </c>
      <c r="C59" s="1296">
        <v>14</v>
      </c>
      <c r="D59" s="1296">
        <v>638331.07073822804</v>
      </c>
      <c r="E59" s="1296">
        <v>116</v>
      </c>
      <c r="F59" s="1296">
        <v>3026462.7045572698</v>
      </c>
    </row>
    <row r="60" spans="1:6">
      <c r="A60" s="1295" t="s">
        <v>48</v>
      </c>
      <c r="B60" s="1295" t="s">
        <v>52</v>
      </c>
      <c r="C60" s="1296">
        <v>31</v>
      </c>
      <c r="D60" s="1296">
        <v>2331831.35358846</v>
      </c>
      <c r="E60" s="1296">
        <v>90</v>
      </c>
      <c r="F60" s="1296">
        <v>1834540.9694502801</v>
      </c>
    </row>
    <row r="61" spans="1:6">
      <c r="A61" s="1295" t="s">
        <v>48</v>
      </c>
      <c r="B61" s="1295" t="s">
        <v>53</v>
      </c>
      <c r="C61" s="1296">
        <v>55</v>
      </c>
      <c r="D61" s="1296">
        <v>1905687.6409440699</v>
      </c>
      <c r="E61" s="1296">
        <v>150</v>
      </c>
      <c r="F61" s="1296">
        <v>1717401.65791944</v>
      </c>
    </row>
    <row r="62" spans="1:6">
      <c r="A62" s="1295" t="s">
        <v>48</v>
      </c>
      <c r="B62" s="1295" t="s">
        <v>54</v>
      </c>
      <c r="C62" s="1296">
        <v>3</v>
      </c>
      <c r="D62" s="1296">
        <v>354076.92672778101</v>
      </c>
      <c r="E62" s="1296">
        <v>10</v>
      </c>
      <c r="F62" s="1296">
        <v>129247.600617002</v>
      </c>
    </row>
    <row r="63" spans="1:6">
      <c r="A63" s="1295" t="s">
        <v>48</v>
      </c>
      <c r="B63" s="1295" t="s">
        <v>28</v>
      </c>
      <c r="C63" s="1296">
        <v>81</v>
      </c>
      <c r="D63" s="1296">
        <v>4702204.2643697001</v>
      </c>
      <c r="E63" s="1296">
        <v>100</v>
      </c>
      <c r="F63" s="1296">
        <v>2741382.8494300698</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60989.994632966002</v>
      </c>
      <c r="E68" s="1299">
        <v>5</v>
      </c>
      <c r="F68" s="1299">
        <v>83244.549049731897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76565971</v>
      </c>
      <c r="E73" s="447"/>
      <c r="F73" s="327"/>
    </row>
    <row r="74" spans="1:6">
      <c r="A74" s="1295" t="s">
        <v>63</v>
      </c>
      <c r="B74" s="1295" t="s">
        <v>755</v>
      </c>
      <c r="C74" s="1309" t="s">
        <v>749</v>
      </c>
      <c r="D74" s="1310">
        <v>7044029.3228931064</v>
      </c>
      <c r="E74" s="447"/>
      <c r="F74" s="327"/>
    </row>
    <row r="75" spans="1:6">
      <c r="A75" s="1295" t="s">
        <v>64</v>
      </c>
      <c r="B75" s="1295" t="s">
        <v>754</v>
      </c>
      <c r="C75" s="1309" t="s">
        <v>750</v>
      </c>
      <c r="D75" s="1310">
        <v>30867926</v>
      </c>
      <c r="E75" s="447"/>
      <c r="F75" s="327"/>
    </row>
    <row r="76" spans="1:6">
      <c r="A76" s="1295" t="s">
        <v>64</v>
      </c>
      <c r="B76" s="1295" t="s">
        <v>755</v>
      </c>
      <c r="C76" s="1309" t="s">
        <v>751</v>
      </c>
      <c r="D76" s="1310">
        <v>1070090.3228931068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185373.35421378652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2598.478889587494</v>
      </c>
      <c r="C91" s="327"/>
      <c r="D91" s="327"/>
      <c r="E91" s="327"/>
      <c r="F91" s="327"/>
    </row>
    <row r="92" spans="1:6">
      <c r="A92" s="1290" t="s">
        <v>68</v>
      </c>
      <c r="B92" s="1291">
        <v>228.33035299091398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652</v>
      </c>
      <c r="C97" s="327"/>
      <c r="D97" s="327"/>
      <c r="E97" s="327"/>
      <c r="F97" s="327"/>
    </row>
    <row r="98" spans="1:6">
      <c r="A98" s="1295" t="s">
        <v>71</v>
      </c>
      <c r="B98" s="1296">
        <v>0</v>
      </c>
      <c r="C98" s="327"/>
      <c r="D98" s="327"/>
      <c r="E98" s="327"/>
      <c r="F98" s="327"/>
    </row>
    <row r="99" spans="1:6">
      <c r="A99" s="1295" t="s">
        <v>72</v>
      </c>
      <c r="B99" s="1296">
        <v>126</v>
      </c>
      <c r="C99" s="327"/>
      <c r="D99" s="327"/>
      <c r="E99" s="327"/>
      <c r="F99" s="327"/>
    </row>
    <row r="100" spans="1:6">
      <c r="A100" s="1295" t="s">
        <v>73</v>
      </c>
      <c r="B100" s="1296">
        <v>687</v>
      </c>
      <c r="C100" s="327"/>
      <c r="D100" s="327"/>
      <c r="E100" s="327"/>
      <c r="F100" s="327"/>
    </row>
    <row r="101" spans="1:6">
      <c r="A101" s="1295" t="s">
        <v>74</v>
      </c>
      <c r="B101" s="1296">
        <v>108</v>
      </c>
      <c r="C101" s="327"/>
      <c r="D101" s="327"/>
      <c r="E101" s="327"/>
      <c r="F101" s="327"/>
    </row>
    <row r="102" spans="1:6">
      <c r="A102" s="1295" t="s">
        <v>75</v>
      </c>
      <c r="B102" s="1296">
        <v>99</v>
      </c>
      <c r="C102" s="327"/>
      <c r="D102" s="327"/>
      <c r="E102" s="327"/>
      <c r="F102" s="327"/>
    </row>
    <row r="103" spans="1:6">
      <c r="A103" s="1295" t="s">
        <v>76</v>
      </c>
      <c r="B103" s="1296">
        <v>350</v>
      </c>
      <c r="C103" s="327"/>
      <c r="D103" s="327"/>
      <c r="E103" s="327"/>
      <c r="F103" s="327"/>
    </row>
    <row r="104" spans="1:6">
      <c r="A104" s="1295" t="s">
        <v>77</v>
      </c>
      <c r="B104" s="1296">
        <v>2839</v>
      </c>
      <c r="C104" s="327"/>
      <c r="D104" s="327"/>
      <c r="E104" s="327"/>
      <c r="F104" s="327"/>
    </row>
    <row r="105" spans="1:6">
      <c r="A105" s="1290"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21</v>
      </c>
      <c r="C123" s="1296">
        <v>12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52</v>
      </c>
      <c r="C129" s="327"/>
      <c r="D129" s="327"/>
      <c r="E129" s="327"/>
      <c r="F129" s="327"/>
    </row>
    <row r="130" spans="1:6">
      <c r="A130" s="1295" t="s">
        <v>290</v>
      </c>
      <c r="B130" s="1296">
        <v>1</v>
      </c>
      <c r="C130" s="327"/>
      <c r="D130" s="327"/>
      <c r="E130" s="327"/>
      <c r="F130" s="327"/>
    </row>
    <row r="131" spans="1:6">
      <c r="A131" s="1295" t="s">
        <v>291</v>
      </c>
      <c r="B131" s="1296">
        <v>3</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49488.245235327755</v>
      </c>
      <c r="C3" s="44" t="s">
        <v>169</v>
      </c>
      <c r="D3" s="44"/>
      <c r="E3" s="157"/>
      <c r="F3" s="44"/>
      <c r="G3" s="44"/>
      <c r="H3" s="44"/>
      <c r="I3" s="44"/>
      <c r="J3" s="44"/>
      <c r="K3" s="97"/>
    </row>
    <row r="4" spans="1:11">
      <c r="A4" s="354" t="s">
        <v>170</v>
      </c>
      <c r="B4" s="50">
        <f>IF(ISERROR('SEAP template'!B78+'SEAP template'!C78),0,'SEAP template'!B78+'SEAP template'!C78)</f>
        <v>2826.809242578408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0.20837629835854718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1081.7280000000001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1081.7280000000001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0.20837629835854718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225.40647647079453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27416.7465401646</v>
      </c>
      <c r="C5" s="18">
        <f>IF(ISERROR('Eigen informatie GS &amp; warmtenet'!B57),0,'Eigen informatie GS &amp; warmtenet'!B57)</f>
        <v>0</v>
      </c>
      <c r="D5" s="31">
        <f>(SUM(HH_hh_gas_kWh,HH_rest_gas_kWh)/1000)*0.902</f>
        <v>33306.238819625039</v>
      </c>
      <c r="E5" s="18">
        <f>B32*B41</f>
        <v>1721.5234833150737</v>
      </c>
      <c r="F5" s="18">
        <f>B36*B45</f>
        <v>52484.252914271769</v>
      </c>
      <c r="G5" s="19"/>
      <c r="H5" s="18"/>
      <c r="I5" s="18"/>
      <c r="J5" s="18">
        <f>B35*B44+C35*C44</f>
        <v>952.30848121018516</v>
      </c>
      <c r="K5" s="18"/>
      <c r="L5" s="18"/>
      <c r="M5" s="18"/>
      <c r="N5" s="18">
        <f>B34*B43+C34*C43</f>
        <v>8055.3016127830906</v>
      </c>
      <c r="O5" s="18">
        <f>B52*B53*B54</f>
        <v>100.05333333333334</v>
      </c>
      <c r="P5" s="18">
        <f>B60*B61*B62/1000-B60*B61*B62/1000/B63</f>
        <v>552.93333333333339</v>
      </c>
    </row>
    <row r="6" spans="1:16">
      <c r="A6" s="17" t="s">
        <v>628</v>
      </c>
      <c r="B6" s="768">
        <f>kWh_PV_kleiner_dan_10kW</f>
        <v>2598.478889587494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30015.225429752096</v>
      </c>
      <c r="C8" s="22">
        <f>C5</f>
        <v>0</v>
      </c>
      <c r="D8" s="22">
        <f>D5</f>
        <v>33306.238819625039</v>
      </c>
      <c r="E8" s="22">
        <f>E5</f>
        <v>1721.5234833150737</v>
      </c>
      <c r="F8" s="22">
        <f>F5</f>
        <v>52484.252914271769</v>
      </c>
      <c r="G8" s="22"/>
      <c r="H8" s="22"/>
      <c r="I8" s="22"/>
      <c r="J8" s="22">
        <f>J5</f>
        <v>952.30848121018516</v>
      </c>
      <c r="K8" s="22"/>
      <c r="L8" s="22">
        <f>L5</f>
        <v>0</v>
      </c>
      <c r="M8" s="22">
        <f>M5</f>
        <v>0</v>
      </c>
      <c r="N8" s="22">
        <f>N5</f>
        <v>8055.3016127830906</v>
      </c>
      <c r="O8" s="22">
        <f>O5</f>
        <v>100.05333333333334</v>
      </c>
      <c r="P8" s="22">
        <f>P5</f>
        <v>552.93333333333339</v>
      </c>
    </row>
    <row r="9" spans="1:16">
      <c r="B9" s="20"/>
      <c r="C9" s="20"/>
      <c r="D9" s="258"/>
      <c r="E9" s="20"/>
      <c r="F9" s="20"/>
      <c r="G9" s="20"/>
      <c r="H9" s="20"/>
      <c r="I9" s="20"/>
      <c r="J9" s="20"/>
      <c r="K9" s="20"/>
      <c r="L9" s="20"/>
      <c r="M9" s="20"/>
      <c r="N9" s="20"/>
      <c r="O9" s="20"/>
      <c r="P9" s="20"/>
    </row>
    <row r="10" spans="1:16">
      <c r="A10" s="25" t="s">
        <v>213</v>
      </c>
      <c r="B10" s="26">
        <f ca="1">'EF ele_warmte'!B12</f>
        <v>0.20837629835854718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6254.4615694490749</v>
      </c>
      <c r="C12" s="24">
        <f ca="1">C10*C8</f>
        <v>0</v>
      </c>
      <c r="D12" s="24">
        <f>D8*D10</f>
        <v>6727.8602415642581</v>
      </c>
      <c r="E12" s="24">
        <f>E10*E8</f>
        <v>390.78583071252172</v>
      </c>
      <c r="F12" s="24">
        <f>F10*F8</f>
        <v>14013.295528110562</v>
      </c>
      <c r="G12" s="24"/>
      <c r="H12" s="24"/>
      <c r="I12" s="24"/>
      <c r="J12" s="24">
        <f>J10*J8</f>
        <v>337.11720234840556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5255</v>
      </c>
      <c r="C26" s="37"/>
      <c r="D26" s="228"/>
    </row>
    <row r="27" spans="1:5" s="16" customFormat="1">
      <c r="A27" s="230" t="s">
        <v>654</v>
      </c>
      <c r="B27" s="38">
        <f>SUM(HH_hh_gas_aantal,HH_rest_gas_aantal)</f>
        <v>2017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1916.15</v>
      </c>
      <c r="C31" s="35" t="s">
        <v>110</v>
      </c>
      <c r="D31" s="174"/>
    </row>
    <row r="32" spans="1:5">
      <c r="A32" s="171" t="s">
        <v>72</v>
      </c>
      <c r="B32" s="34">
        <f>IF((B21*($B$26-($B$27-0.05*$B$27)-$B$60))&lt;0,0,B21*($B$26-($B$27-0.05*$B$27)-$B$60))</f>
        <v>81.340657881715302</v>
      </c>
      <c r="C32" s="35" t="s">
        <v>110</v>
      </c>
      <c r="D32" s="174"/>
    </row>
    <row r="33" spans="1:6">
      <c r="A33" s="171" t="s">
        <v>73</v>
      </c>
      <c r="B33" s="34">
        <f>IF((B22*($B$26-($B$27-0.05*$B$27)-$B$60))&lt;0,0,B22*($B$26-($B$27-0.05*$B$27)-$B$60))</f>
        <v>547.51802708096591</v>
      </c>
      <c r="C33" s="35" t="s">
        <v>110</v>
      </c>
      <c r="D33" s="174"/>
    </row>
    <row r="34" spans="1:6">
      <c r="A34" s="171" t="s">
        <v>74</v>
      </c>
      <c r="B34" s="34">
        <f>IF((B24*($B$26-($B$27-0.05*$B$27)-$B$60))&lt;0,0,B24*($B$26-($B$27-0.05*$B$27)-$B$60))</f>
        <v>138.86211230204245</v>
      </c>
      <c r="C34" s="34">
        <f>B26*C24</f>
        <v>1074.6597319009747</v>
      </c>
      <c r="D34" s="233"/>
    </row>
    <row r="35" spans="1:6">
      <c r="A35" s="171" t="s">
        <v>76</v>
      </c>
      <c r="B35" s="34">
        <f>IF((B19*($B$26-($B$27-0.05*$B$27)-$B$60))&lt;0,0,B19*($B$26-($B$27-0.05*$B$27)-$B$60))</f>
        <v>51.624538937479613</v>
      </c>
      <c r="C35" s="34">
        <f>B35/2</f>
        <v>25.812269468739807</v>
      </c>
      <c r="D35" s="233"/>
    </row>
    <row r="36" spans="1:6">
      <c r="A36" s="171" t="s">
        <v>77</v>
      </c>
      <c r="B36" s="34">
        <f>IF((B18*($B$26-($B$27-0.05*$B$27)-$B$60))&lt;0,0,B18*($B$26-($B$27-0.05*$B$27)-$B$60))</f>
        <v>2490.5046637977957</v>
      </c>
      <c r="C36" s="35" t="s">
        <v>110</v>
      </c>
      <c r="D36" s="174"/>
    </row>
    <row r="37" spans="1:6">
      <c r="A37" s="171" t="s">
        <v>78</v>
      </c>
      <c r="B37" s="34">
        <f>B60</f>
        <v>29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10316.053467539004</v>
      </c>
      <c r="C5" s="18">
        <f>IF(ISERROR('Eigen informatie GS &amp; warmtenet'!B58),0,'Eigen informatie GS &amp; warmtenet'!B58)</f>
        <v>0</v>
      </c>
      <c r="D5" s="31">
        <f>SUM(D6:D12)</f>
        <v>9539.0177620908235</v>
      </c>
      <c r="E5" s="18">
        <f>SUM(E6:E12)</f>
        <v>143.73057906523402</v>
      </c>
      <c r="F5" s="18">
        <f>SUM(F6:F12)</f>
        <v>2098.7411145213387</v>
      </c>
      <c r="G5" s="19"/>
      <c r="H5" s="18"/>
      <c r="I5" s="18"/>
      <c r="J5" s="18">
        <f>SUM(J6:J12)</f>
        <v>0</v>
      </c>
      <c r="K5" s="18"/>
      <c r="L5" s="18"/>
      <c r="M5" s="18"/>
      <c r="N5" s="18">
        <f>SUM(N6:N12)</f>
        <v>582.30873916410985</v>
      </c>
      <c r="O5" s="18">
        <f>B38*B39*B40</f>
        <v>1.5633333333333335</v>
      </c>
      <c r="P5" s="18">
        <f>B46*B47*B48/1000-B46*B47*B48/1000/B49</f>
        <v>57.2</v>
      </c>
      <c r="R5" s="33"/>
    </row>
    <row r="6" spans="1:18">
      <c r="A6" s="33" t="s">
        <v>53</v>
      </c>
      <c r="B6" s="38">
        <f>B26</f>
        <v>1717.4016579194399</v>
      </c>
      <c r="C6" s="34"/>
      <c r="D6" s="38">
        <f>IF(ISERROR(TER_kantoor_gas_kWh/1000),0,TER_kantoor_gas_kWh/1000)*0.902</f>
        <v>1718.930252131551</v>
      </c>
      <c r="E6" s="34">
        <f>$C$26*'E Balans VL '!I12/100/3.6*1000000</f>
        <v>2.8186041964848583</v>
      </c>
      <c r="F6" s="34">
        <f>$C$26*('E Balans VL '!L12+'E Balans VL '!N12)/100/3.6*1000000</f>
        <v>202.4412472020436</v>
      </c>
      <c r="G6" s="35"/>
      <c r="H6" s="34"/>
      <c r="I6" s="34"/>
      <c r="J6" s="34">
        <f>$C$26*('E Balans VL '!D12+'E Balans VL '!E12)/100/3.6*1000000</f>
        <v>0</v>
      </c>
      <c r="K6" s="34"/>
      <c r="L6" s="34"/>
      <c r="M6" s="34"/>
      <c r="N6" s="34">
        <f>$C$26*'E Balans VL '!Y12/100/3.6*1000000</f>
        <v>0.34699287241998084</v>
      </c>
      <c r="O6" s="34"/>
      <c r="P6" s="34"/>
      <c r="R6" s="33"/>
    </row>
    <row r="7" spans="1:18">
      <c r="A7" s="33" t="s">
        <v>52</v>
      </c>
      <c r="B7" s="38">
        <f t="shared" ref="B7:B12" si="0">B27</f>
        <v>1834.54096945028</v>
      </c>
      <c r="C7" s="34"/>
      <c r="D7" s="38">
        <f>IF(ISERROR(TER_horeca_gas_kWh/1000),0,TER_horeca_gas_kWh/1000)*0.902</f>
        <v>2103.3118809367911</v>
      </c>
      <c r="E7" s="34">
        <f>$C$27*'E Balans VL '!I9/100/3.6*1000000</f>
        <v>95.199401291939679</v>
      </c>
      <c r="F7" s="34">
        <f>$C$27*('E Balans VL '!L9+'E Balans VL '!N9)/100/3.6*1000000</f>
        <v>418.64358037807875</v>
      </c>
      <c r="G7" s="35"/>
      <c r="H7" s="34"/>
      <c r="I7" s="34"/>
      <c r="J7" s="34">
        <f>$C$27*('E Balans VL '!D9+'E Balans VL '!E9)/100/3.6*1000000</f>
        <v>0</v>
      </c>
      <c r="K7" s="34"/>
      <c r="L7" s="34"/>
      <c r="M7" s="34"/>
      <c r="N7" s="34">
        <f>$C$27*'E Balans VL '!Y9/100/3.6*1000000</f>
        <v>0.19372668565887211</v>
      </c>
      <c r="O7" s="34"/>
      <c r="P7" s="34"/>
      <c r="R7" s="33"/>
    </row>
    <row r="8" spans="1:18">
      <c r="A8" s="6" t="s">
        <v>51</v>
      </c>
      <c r="B8" s="38">
        <f t="shared" si="0"/>
        <v>3026.4627045572697</v>
      </c>
      <c r="C8" s="34"/>
      <c r="D8" s="38">
        <f>IF(ISERROR(TER_handel_gas_kWh/1000),0,TER_handel_gas_kWh/1000)*0.902</f>
        <v>575.77462580588167</v>
      </c>
      <c r="E8" s="34">
        <f>$C$28*'E Balans VL '!I13/100/3.6*1000000</f>
        <v>16.297873566877403</v>
      </c>
      <c r="F8" s="34">
        <f>$C$28*('E Balans VL '!L13+'E Balans VL '!N13)/100/3.6*1000000</f>
        <v>617.18568383034869</v>
      </c>
      <c r="G8" s="35"/>
      <c r="H8" s="34"/>
      <c r="I8" s="34"/>
      <c r="J8" s="34">
        <f>$C$28*('E Balans VL '!D13+'E Balans VL '!E13)/100/3.6*1000000</f>
        <v>0</v>
      </c>
      <c r="K8" s="34"/>
      <c r="L8" s="34"/>
      <c r="M8" s="34"/>
      <c r="N8" s="34">
        <f>$C$28*'E Balans VL '!Y13/100/3.6*1000000</f>
        <v>15.049000800599217</v>
      </c>
      <c r="O8" s="34"/>
      <c r="P8" s="34"/>
      <c r="R8" s="33"/>
    </row>
    <row r="9" spans="1:18">
      <c r="A9" s="33" t="s">
        <v>50</v>
      </c>
      <c r="B9" s="38">
        <f t="shared" si="0"/>
        <v>200.90655533190602</v>
      </c>
      <c r="C9" s="34"/>
      <c r="D9" s="38">
        <f>IF(ISERROR(TER_gezond_gas_kWh/1000),0,TER_gezond_gas_kWh/1000)*0.902</f>
        <v>230.06266577108545</v>
      </c>
      <c r="E9" s="34">
        <f>$C$29*'E Balans VL '!I10/100/3.6*1000000</f>
        <v>0.19910068103381062</v>
      </c>
      <c r="F9" s="34">
        <f>$C$29*('E Balans VL '!L10+'E Balans VL '!N10)/100/3.6*1000000</f>
        <v>69.708783790878471</v>
      </c>
      <c r="G9" s="35"/>
      <c r="H9" s="34"/>
      <c r="I9" s="34"/>
      <c r="J9" s="34">
        <f>$C$29*('E Balans VL '!D10+'E Balans VL '!E10)/100/3.6*1000000</f>
        <v>0</v>
      </c>
      <c r="K9" s="34"/>
      <c r="L9" s="34"/>
      <c r="M9" s="34"/>
      <c r="N9" s="34">
        <f>$C$29*'E Balans VL '!Y10/100/3.6*1000000</f>
        <v>1.7311943828435881</v>
      </c>
      <c r="O9" s="34"/>
      <c r="P9" s="34"/>
      <c r="R9" s="33"/>
    </row>
    <row r="10" spans="1:18">
      <c r="A10" s="33" t="s">
        <v>49</v>
      </c>
      <c r="B10" s="38">
        <f t="shared" si="0"/>
        <v>666.11113023303801</v>
      </c>
      <c r="C10" s="34"/>
      <c r="D10" s="38">
        <f>IF(ISERROR(TER_ander_gas_kWh/1000),0,TER_ander_gas_kWh/1000)*0.902</f>
        <v>350.17270307558658</v>
      </c>
      <c r="E10" s="34">
        <f>$C$30*'E Balans VL '!I14/100/3.6*1000000</f>
        <v>5.4494547759690199</v>
      </c>
      <c r="F10" s="34">
        <f>$C$30*('E Balans VL '!L14+'E Balans VL '!N14)/100/3.6*1000000</f>
        <v>194.74377597287483</v>
      </c>
      <c r="G10" s="35"/>
      <c r="H10" s="34"/>
      <c r="I10" s="34"/>
      <c r="J10" s="34">
        <f>$C$30*('E Balans VL '!D14+'E Balans VL '!E14)/100/3.6*1000000</f>
        <v>0</v>
      </c>
      <c r="K10" s="34"/>
      <c r="L10" s="34"/>
      <c r="M10" s="34"/>
      <c r="N10" s="34">
        <f>$C$30*'E Balans VL '!Y14/100/3.6*1000000</f>
        <v>384.25872097926469</v>
      </c>
      <c r="O10" s="34"/>
      <c r="P10" s="34"/>
      <c r="R10" s="33"/>
    </row>
    <row r="11" spans="1:18">
      <c r="A11" s="33" t="s">
        <v>54</v>
      </c>
      <c r="B11" s="38">
        <f t="shared" si="0"/>
        <v>129.24760061700201</v>
      </c>
      <c r="C11" s="34"/>
      <c r="D11" s="38">
        <f>IF(ISERROR(TER_onderwijs_gas_kWh/1000),0,TER_onderwijs_gas_kWh/1000)*0.902</f>
        <v>319.3773879084585</v>
      </c>
      <c r="E11" s="34">
        <f>$C$31*'E Balans VL '!I11/100/3.6*1000000</f>
        <v>7.9662767522616862E-2</v>
      </c>
      <c r="F11" s="34">
        <f>$C$31*('E Balans VL '!L11+'E Balans VL '!N11)/100/3.6*1000000</f>
        <v>49.969215520684706</v>
      </c>
      <c r="G11" s="35"/>
      <c r="H11" s="34"/>
      <c r="I11" s="34"/>
      <c r="J11" s="34">
        <f>$C$31*('E Balans VL '!D11+'E Balans VL '!E11)/100/3.6*1000000</f>
        <v>0</v>
      </c>
      <c r="K11" s="34"/>
      <c r="L11" s="34"/>
      <c r="M11" s="34"/>
      <c r="N11" s="34">
        <f>$C$31*'E Balans VL '!Y11/100/3.6*1000000</f>
        <v>0.42041474763766984</v>
      </c>
      <c r="O11" s="34"/>
      <c r="P11" s="34"/>
      <c r="R11" s="33"/>
    </row>
    <row r="12" spans="1:18">
      <c r="A12" s="33" t="s">
        <v>255</v>
      </c>
      <c r="B12" s="38">
        <f t="shared" si="0"/>
        <v>2741.3828494300697</v>
      </c>
      <c r="C12" s="34"/>
      <c r="D12" s="38">
        <f>IF(ISERROR(TER_rest_gas_kWh/1000),0,TER_rest_gas_kWh/1000)*0.902</f>
        <v>4241.3882464614699</v>
      </c>
      <c r="E12" s="34">
        <f>$C$32*'E Balans VL '!I8/100/3.6*1000000</f>
        <v>23.686481785406649</v>
      </c>
      <c r="F12" s="34">
        <f>$C$32*('E Balans VL '!L8+'E Balans VL '!N8)/100/3.6*1000000</f>
        <v>546.04882782642972</v>
      </c>
      <c r="G12" s="35"/>
      <c r="H12" s="34"/>
      <c r="I12" s="34"/>
      <c r="J12" s="34">
        <f>$C$32*('E Balans VL '!D8+'E Balans VL '!E8)/100/3.6*1000000</f>
        <v>0</v>
      </c>
      <c r="K12" s="34"/>
      <c r="L12" s="34"/>
      <c r="M12" s="34"/>
      <c r="N12" s="34">
        <f>$C$32*'E Balans VL '!Y8/100/3.6*1000000</f>
        <v>180.30868869568582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10316.053467539004</v>
      </c>
      <c r="C16" s="22">
        <f t="shared" ca="1" si="1"/>
        <v>0</v>
      </c>
      <c r="D16" s="22">
        <f t="shared" ca="1" si="1"/>
        <v>9539.0177620908235</v>
      </c>
      <c r="E16" s="22">
        <f t="shared" si="1"/>
        <v>143.73057906523402</v>
      </c>
      <c r="F16" s="22">
        <f t="shared" ca="1" si="1"/>
        <v>2098.7411145213387</v>
      </c>
      <c r="G16" s="22">
        <f t="shared" si="1"/>
        <v>0</v>
      </c>
      <c r="H16" s="22">
        <f t="shared" si="1"/>
        <v>0</v>
      </c>
      <c r="I16" s="22">
        <f t="shared" si="1"/>
        <v>0</v>
      </c>
      <c r="J16" s="22">
        <f t="shared" si="1"/>
        <v>0</v>
      </c>
      <c r="K16" s="22">
        <f t="shared" si="1"/>
        <v>0</v>
      </c>
      <c r="L16" s="22">
        <f t="shared" ca="1" si="1"/>
        <v>0</v>
      </c>
      <c r="M16" s="22">
        <f t="shared" si="1"/>
        <v>0</v>
      </c>
      <c r="N16" s="22">
        <f t="shared" ca="1" si="1"/>
        <v>582.30873916410985</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0.20837629835854718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2149.6210352346329</v>
      </c>
      <c r="C20" s="24">
        <f t="shared" ref="C20:P20" ca="1" si="2">C16*C18</f>
        <v>0</v>
      </c>
      <c r="D20" s="24">
        <f t="shared" ca="1" si="2"/>
        <v>1926.8815879423464</v>
      </c>
      <c r="E20" s="24">
        <f t="shared" si="2"/>
        <v>32.626841447808125</v>
      </c>
      <c r="F20" s="24">
        <f t="shared" ca="1" si="2"/>
        <v>560.3638775771974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1717.4016579194399</v>
      </c>
      <c r="C26" s="40">
        <f>IF(ISERROR(B26*3.6/1000000/'E Balans VL '!Z12*100),0,B26*3.6/1000000/'E Balans VL '!Z12*100)</f>
        <v>3.64935536287447E-2</v>
      </c>
      <c r="D26" s="236" t="s">
        <v>691</v>
      </c>
      <c r="F26" s="6"/>
    </row>
    <row r="27" spans="1:18">
      <c r="A27" s="231" t="s">
        <v>52</v>
      </c>
      <c r="B27" s="34">
        <f>IF(ISERROR(TER_horeca_ele_kWh/1000),0,TER_horeca_ele_kWh/1000)</f>
        <v>1834.54096945028</v>
      </c>
      <c r="C27" s="40">
        <f>IF(ISERROR(B27*3.6/1000000/'E Balans VL '!Z9*100),0,B27*3.6/1000000/'E Balans VL '!Z9*100)</f>
        <v>0.14439256073953202</v>
      </c>
      <c r="D27" s="236" t="s">
        <v>691</v>
      </c>
      <c r="F27" s="6"/>
    </row>
    <row r="28" spans="1:18">
      <c r="A28" s="171" t="s">
        <v>51</v>
      </c>
      <c r="B28" s="34">
        <f>IF(ISERROR(TER_handel_ele_kWh/1000),0,TER_handel_ele_kWh/1000)</f>
        <v>3026.4627045572697</v>
      </c>
      <c r="C28" s="40">
        <f>IF(ISERROR(B28*3.6/1000000/'E Balans VL '!Z13*100),0,B28*3.6/1000000/'E Balans VL '!Z13*100)</f>
        <v>8.4772840053543352E-2</v>
      </c>
      <c r="D28" s="236" t="s">
        <v>691</v>
      </c>
      <c r="F28" s="6"/>
    </row>
    <row r="29" spans="1:18">
      <c r="A29" s="231" t="s">
        <v>50</v>
      </c>
      <c r="B29" s="34">
        <f>IF(ISERROR(TER_gezond_ele_kWh/1000),0,TER_gezond_ele_kWh/1000)</f>
        <v>200.90655533190602</v>
      </c>
      <c r="C29" s="40">
        <f>IF(ISERROR(B29*3.6/1000000/'E Balans VL '!Z10*100),0,B29*3.6/1000000/'E Balans VL '!Z10*100)</f>
        <v>2.5702023596510259E-2</v>
      </c>
      <c r="D29" s="236" t="s">
        <v>691</v>
      </c>
      <c r="F29" s="6"/>
    </row>
    <row r="30" spans="1:18">
      <c r="A30" s="231" t="s">
        <v>49</v>
      </c>
      <c r="B30" s="34">
        <f>IF(ISERROR(TER_ander_ele_kWh/1000),0,TER_ander_ele_kWh/1000)</f>
        <v>666.11113023303801</v>
      </c>
      <c r="C30" s="40">
        <f>IF(ISERROR(B30*3.6/1000000/'E Balans VL '!Z14*100),0,B30*3.6/1000000/'E Balans VL '!Z14*100)</f>
        <v>4.9819499790999311E-2</v>
      </c>
      <c r="D30" s="236" t="s">
        <v>691</v>
      </c>
      <c r="F30" s="6"/>
    </row>
    <row r="31" spans="1:18">
      <c r="A31" s="231" t="s">
        <v>54</v>
      </c>
      <c r="B31" s="34">
        <f>IF(ISERROR(TER_onderwijs_ele_kWh/1000),0,TER_onderwijs_ele_kWh/1000)</f>
        <v>129.24760061700201</v>
      </c>
      <c r="C31" s="40">
        <f>IF(ISERROR(B31*3.6/1000000/'E Balans VL '!Z11*100),0,B31*3.6/1000000/'E Balans VL '!Z11*100)</f>
        <v>2.7290798288715994E-2</v>
      </c>
      <c r="D31" s="236" t="s">
        <v>691</v>
      </c>
    </row>
    <row r="32" spans="1:18">
      <c r="A32" s="231" t="s">
        <v>255</v>
      </c>
      <c r="B32" s="34">
        <f>IF(ISERROR(TER_rest_ele_kWh/1000),0,TER_rest_ele_kWh/1000)</f>
        <v>2741.3828494300697</v>
      </c>
      <c r="C32" s="40">
        <f>IF(ISERROR(B32*3.6/1000000/'E Balans VL '!Z8*100),0,B32*3.6/1000000/'E Balans VL '!Z8*100)</f>
        <v>2.2583325678966329E-2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4753.89282855498</v>
      </c>
      <c r="C5" s="18">
        <f>IF(ISERROR('Eigen informatie GS &amp; warmtenet'!B59),0,'Eigen informatie GS &amp; warmtenet'!B59)</f>
        <v>0</v>
      </c>
      <c r="D5" s="31">
        <f>SUM(D6:D15)</f>
        <v>1844.3674634417512</v>
      </c>
      <c r="E5" s="18">
        <f>SUM(E6:E15)</f>
        <v>42.47064992088486</v>
      </c>
      <c r="F5" s="18">
        <f>SUM(F6:F15)</f>
        <v>1339.4796699991666</v>
      </c>
      <c r="G5" s="19"/>
      <c r="H5" s="18"/>
      <c r="I5" s="18"/>
      <c r="J5" s="18">
        <f>SUM(J6:J15)</f>
        <v>11.371869801283028</v>
      </c>
      <c r="K5" s="18"/>
      <c r="L5" s="18"/>
      <c r="M5" s="18"/>
      <c r="N5" s="18">
        <f>SUM(N6:N15)</f>
        <v>177.0841217379886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106.75473068174699</v>
      </c>
      <c r="C8" s="34"/>
      <c r="D8" s="38">
        <f>IF( ISERROR(IND_metaal_Gas_kWH/1000),0,IND_metaal_Gas_kWH/1000)*0.902</f>
        <v>0</v>
      </c>
      <c r="E8" s="34">
        <f>C30*'E Balans VL '!I18/100/3.6*1000000</f>
        <v>0.97219609379730676</v>
      </c>
      <c r="F8" s="34">
        <f>C30*'E Balans VL '!L18/100/3.6*1000000+C30*'E Balans VL '!N18/100/3.6*1000000</f>
        <v>14.080138267573261</v>
      </c>
      <c r="G8" s="35"/>
      <c r="H8" s="34"/>
      <c r="I8" s="34"/>
      <c r="J8" s="41">
        <f>C30*'E Balans VL '!D18/100/3.6*1000000+C30*'E Balans VL '!E18/100/3.6*1000000</f>
        <v>1.7506225808931661</v>
      </c>
      <c r="K8" s="34"/>
      <c r="L8" s="34"/>
      <c r="M8" s="34"/>
      <c r="N8" s="34">
        <f>C30*'E Balans VL '!Y18/100/3.6*1000000</f>
        <v>0.36687360114518636</v>
      </c>
      <c r="O8" s="34"/>
      <c r="P8" s="34"/>
      <c r="R8" s="33"/>
    </row>
    <row r="9" spans="1:18">
      <c r="A9" s="6" t="s">
        <v>32</v>
      </c>
      <c r="B9" s="38">
        <f t="shared" si="0"/>
        <v>942.65061241108094</v>
      </c>
      <c r="C9" s="34"/>
      <c r="D9" s="38">
        <f>IF( ISERROR(IND_andere_gas_kWh/1000),0,IND_andere_gas_kWh/1000)*0.902</f>
        <v>609.52492036193223</v>
      </c>
      <c r="E9" s="34">
        <f>C31*'E Balans VL '!I19/100/3.6*1000000</f>
        <v>5.4486614072185029</v>
      </c>
      <c r="F9" s="34">
        <f>C31*'E Balans VL '!L19/100/3.6*1000000+C31*'E Balans VL '!N19/100/3.6*1000000</f>
        <v>749.92392072558027</v>
      </c>
      <c r="G9" s="35"/>
      <c r="H9" s="34"/>
      <c r="I9" s="34"/>
      <c r="J9" s="41">
        <f>C31*'E Balans VL '!D19/100/3.6*1000000+C31*'E Balans VL '!E19/100/3.6*1000000</f>
        <v>8.9164277267654635E-2</v>
      </c>
      <c r="K9" s="34"/>
      <c r="L9" s="34"/>
      <c r="M9" s="34"/>
      <c r="N9" s="34">
        <f>C31*'E Balans VL '!Y19/100/3.6*1000000</f>
        <v>71.420049311486864</v>
      </c>
      <c r="O9" s="34"/>
      <c r="P9" s="34"/>
      <c r="R9" s="33"/>
    </row>
    <row r="10" spans="1:18">
      <c r="A10" s="6" t="s">
        <v>40</v>
      </c>
      <c r="B10" s="38">
        <f t="shared" si="0"/>
        <v>1730.48048797262</v>
      </c>
      <c r="C10" s="34"/>
      <c r="D10" s="38">
        <f>IF( ISERROR(IND_voed_gas_kWh/1000),0,IND_voed_gas_kWh/1000)*0.902</f>
        <v>258.67914819926625</v>
      </c>
      <c r="E10" s="34">
        <f>C32*'E Balans VL '!I20/100/3.6*1000000</f>
        <v>17.01515039557454</v>
      </c>
      <c r="F10" s="34">
        <f>C32*'E Balans VL '!L20/100/3.6*1000000+C32*'E Balans VL '!N20/100/3.6*1000000</f>
        <v>192.19244553579551</v>
      </c>
      <c r="G10" s="35"/>
      <c r="H10" s="34"/>
      <c r="I10" s="34"/>
      <c r="J10" s="41">
        <f>C32*'E Balans VL '!D20/100/3.6*1000000+C32*'E Balans VL '!E20/100/3.6*1000000</f>
        <v>6.8206091939708221E-3</v>
      </c>
      <c r="K10" s="34"/>
      <c r="L10" s="34"/>
      <c r="M10" s="34"/>
      <c r="N10" s="34">
        <f>C32*'E Balans VL '!Y20/100/3.6*1000000</f>
        <v>25.624345507702611</v>
      </c>
      <c r="O10" s="34"/>
      <c r="P10" s="34"/>
      <c r="R10" s="33"/>
    </row>
    <row r="11" spans="1:18">
      <c r="A11" s="6" t="s">
        <v>39</v>
      </c>
      <c r="B11" s="38">
        <f t="shared" si="0"/>
        <v>21.970501070744898</v>
      </c>
      <c r="C11" s="34"/>
      <c r="D11" s="38">
        <f>IF( ISERROR(IND_textiel_gas_kWh/1000),0,IND_textiel_gas_kWh/1000)*0.902</f>
        <v>0</v>
      </c>
      <c r="E11" s="34">
        <f>C33*'E Balans VL '!I21/100/3.6*1000000</f>
        <v>4.2781667285499779E-2</v>
      </c>
      <c r="F11" s="34">
        <f>C33*'E Balans VL '!L21/100/3.6*1000000+C33*'E Balans VL '!N21/100/3.6*1000000</f>
        <v>0.72465922159113572</v>
      </c>
      <c r="G11" s="35"/>
      <c r="H11" s="34"/>
      <c r="I11" s="34"/>
      <c r="J11" s="41">
        <f>C33*'E Balans VL '!D21/100/3.6*1000000+C33*'E Balans VL '!E21/100/3.6*1000000</f>
        <v>0</v>
      </c>
      <c r="K11" s="34"/>
      <c r="L11" s="34"/>
      <c r="M11" s="34"/>
      <c r="N11" s="34">
        <f>C33*'E Balans VL '!Y21/100/3.6*1000000</f>
        <v>0.22789188241667294</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57.883140750797295</v>
      </c>
      <c r="C13" s="34"/>
      <c r="D13" s="38">
        <f>IF( ISERROR(IND_papier_gas_kWh/1000),0,IND_papier_gas_kWh/1000)*0.902</f>
        <v>0</v>
      </c>
      <c r="E13" s="34">
        <f>C35*'E Balans VL '!I23/100/3.6*1000000</f>
        <v>1.9715836991002753</v>
      </c>
      <c r="F13" s="34">
        <f>C35*'E Balans VL '!L23/100/3.6*1000000+C35*'E Balans VL '!N23/100/3.6*1000000</f>
        <v>9.560936363960522</v>
      </c>
      <c r="G13" s="35"/>
      <c r="H13" s="34"/>
      <c r="I13" s="34"/>
      <c r="J13" s="41">
        <f>C35*'E Balans VL '!D23/100/3.6*1000000+C35*'E Balans VL '!E23/100/3.6*1000000</f>
        <v>0</v>
      </c>
      <c r="K13" s="34"/>
      <c r="L13" s="34"/>
      <c r="M13" s="34"/>
      <c r="N13" s="34">
        <f>C35*'E Balans VL '!Y23/100/3.6*1000000</f>
        <v>21.299443490793276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1894.1533556679899</v>
      </c>
      <c r="C15" s="34"/>
      <c r="D15" s="38">
        <f>IF( ISERROR(IND_rest_gas_kWh/1000),0,IND_rest_gas_kWh/1000)*0.902</f>
        <v>976.1633948805528</v>
      </c>
      <c r="E15" s="34">
        <f>C37*'E Balans VL '!I15/100/3.6*1000000</f>
        <v>17.020276657908735</v>
      </c>
      <c r="F15" s="34">
        <f>C37*'E Balans VL '!L15/100/3.6*1000000+C37*'E Balans VL '!N15/100/3.6*1000000</f>
        <v>372.99756988466601</v>
      </c>
      <c r="G15" s="35"/>
      <c r="H15" s="34"/>
      <c r="I15" s="34"/>
      <c r="J15" s="41">
        <f>C37*'E Balans VL '!D15/100/3.6*1000000+C37*'E Balans VL '!E15/100/3.6*1000000</f>
        <v>9.5252623339282358</v>
      </c>
      <c r="K15" s="34"/>
      <c r="L15" s="34"/>
      <c r="M15" s="34"/>
      <c r="N15" s="34">
        <f>C37*'E Balans VL '!Y15/100/3.6*1000000</f>
        <v>58.145517944443981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4753.89282855498</v>
      </c>
      <c r="C18" s="22">
        <f>C5+C16</f>
        <v>0</v>
      </c>
      <c r="D18" s="22">
        <f>MAX((D5+D16),0)</f>
        <v>1844.3674634417512</v>
      </c>
      <c r="E18" s="22">
        <f>MAX((E5+E16),0)</f>
        <v>42.47064992088486</v>
      </c>
      <c r="F18" s="22">
        <f>MAX((F5+F16),0)</f>
        <v>1339.4796699991666</v>
      </c>
      <c r="G18" s="22"/>
      <c r="H18" s="22"/>
      <c r="I18" s="22"/>
      <c r="J18" s="22">
        <f>MAX((J5+J16),0)</f>
        <v>11.371869801283028</v>
      </c>
      <c r="K18" s="22"/>
      <c r="L18" s="22">
        <f>MAX((L5+L16),0)</f>
        <v>0</v>
      </c>
      <c r="M18" s="22"/>
      <c r="N18" s="22">
        <f>MAX((N5+N16),0)</f>
        <v>177.0841217379886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0.20837629835854718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990.59859040753031</v>
      </c>
      <c r="C22" s="24">
        <f ca="1">C18*C20</f>
        <v>0</v>
      </c>
      <c r="D22" s="24">
        <f>D18*D20</f>
        <v>372.56222761523378</v>
      </c>
      <c r="E22" s="24">
        <f>E18*E20</f>
        <v>9.6408375320408641</v>
      </c>
      <c r="F22" s="24">
        <f>F18*F20</f>
        <v>357.64107188977749</v>
      </c>
      <c r="G22" s="24"/>
      <c r="H22" s="24"/>
      <c r="I22" s="24"/>
      <c r="J22" s="24">
        <f>J18*J20</f>
        <v>4.0256419096541913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106.75473068174699</v>
      </c>
      <c r="C30" s="40">
        <f>IF(ISERROR(B30*3.6/1000000/'E Balans VL '!Z18*100),0,B30*3.6/1000000/'E Balans VL '!Z18*100)</f>
        <v>5.9401868996799079E-3</v>
      </c>
      <c r="D30" s="236" t="s">
        <v>691</v>
      </c>
    </row>
    <row r="31" spans="1:18">
      <c r="A31" s="6" t="s">
        <v>32</v>
      </c>
      <c r="B31" s="38">
        <f>IF( ISERROR(IND_ander_ele_kWh/1000),0,IND_ander_ele_kWh/1000)</f>
        <v>942.65061241108094</v>
      </c>
      <c r="C31" s="40">
        <f>IF(ISERROR(B31*3.6/1000000/'E Balans VL '!Z19*100),0,B31*3.6/1000000/'E Balans VL '!Z19*100)</f>
        <v>4.3821351285127194E-2</v>
      </c>
      <c r="D31" s="236" t="s">
        <v>691</v>
      </c>
    </row>
    <row r="32" spans="1:18">
      <c r="A32" s="171" t="s">
        <v>40</v>
      </c>
      <c r="B32" s="38">
        <f>IF( ISERROR(IND_voed_ele_kWh/1000),0,IND_voed_ele_kWh/1000)</f>
        <v>1730.48048797262</v>
      </c>
      <c r="C32" s="40">
        <f>IF(ISERROR(B32*3.6/1000000/'E Balans VL '!Z20*100),0,B32*3.6/1000000/'E Balans VL '!Z20*100)</f>
        <v>6.1168990396478086E-2</v>
      </c>
      <c r="D32" s="236" t="s">
        <v>691</v>
      </c>
    </row>
    <row r="33" spans="1:5">
      <c r="A33" s="171" t="s">
        <v>39</v>
      </c>
      <c r="B33" s="38">
        <f>IF( ISERROR(IND_textiel_ele_kWh/1000),0,IND_textiel_ele_kWh/1000)</f>
        <v>21.970501070744898</v>
      </c>
      <c r="C33" s="40">
        <f>IF(ISERROR(B33*3.6/1000000/'E Balans VL '!Z21*100),0,B33*3.6/1000000/'E Balans VL '!Z21*100)</f>
        <v>2.9674495485948658E-3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57.883140750797295</v>
      </c>
      <c r="C35" s="40">
        <f>IF(ISERROR(B35*3.6/1000000/'E Balans VL '!Z22*100),0,B35*3.6/1000000/'E Balans VL '!Z22*100)</f>
        <v>1.1632879041485165E-2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1894.1533556679899</v>
      </c>
      <c r="C37" s="40">
        <f>IF(ISERROR(B37*3.6/1000000/'E Balans VL '!Z15*100),0,B37*3.6/1000000/'E Balans VL '!Z15*100)</f>
        <v>1.4303655922912373E-2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2378.7202971397223</v>
      </c>
      <c r="C5" s="18">
        <f>'Eigen informatie GS &amp; warmtenet'!B60</f>
        <v>0</v>
      </c>
      <c r="D5" s="31">
        <f>IF(ISERROR(SUM(LB_lb_gas_kWh,LB_rest_gas_kWh)/1000),0,SUM(LB_lb_gas_kWh,LB_rest_gas_kWh)/1000)*0.902</f>
        <v>151.3642849407035</v>
      </c>
      <c r="E5" s="18">
        <f>B17*'E Balans VL '!I25/3.6*1000000/100</f>
        <v>22.409138993936676</v>
      </c>
      <c r="F5" s="18">
        <f>B17*('E Balans VL '!L25/3.6*1000000+'E Balans VL '!N25/3.6*1000000)/100</f>
        <v>7762.5537575033986</v>
      </c>
      <c r="G5" s="19"/>
      <c r="H5" s="18"/>
      <c r="I5" s="18"/>
      <c r="J5" s="18">
        <f>('E Balans VL '!D25+'E Balans VL '!E25)/3.6*1000000*landbouw!B17/100</f>
        <v>294.25927084948648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2378.7202971397223</v>
      </c>
      <c r="C8" s="22">
        <f>C5+C6</f>
        <v>0</v>
      </c>
      <c r="D8" s="22">
        <f>MAX((D5+D6),0)</f>
        <v>151.3642849407035</v>
      </c>
      <c r="E8" s="22">
        <f>MAX((E5+E6),0)</f>
        <v>22.409138993936676</v>
      </c>
      <c r="F8" s="22">
        <f>MAX((F5+F6),0)</f>
        <v>7762.5537575033986</v>
      </c>
      <c r="G8" s="22"/>
      <c r="H8" s="22"/>
      <c r="I8" s="22"/>
      <c r="J8" s="22">
        <f>MAX((J5+J6),0)</f>
        <v>294.25927084948648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0.20837629835854718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495.66893034831878</v>
      </c>
      <c r="C12" s="24">
        <f ca="1">C8*C10</f>
        <v>0</v>
      </c>
      <c r="D12" s="24">
        <f>D8*D10</f>
        <v>30.575585558022109</v>
      </c>
      <c r="E12" s="24">
        <f>E8*E10</f>
        <v>5.0868745516236258</v>
      </c>
      <c r="F12" s="24">
        <f>F8*F10</f>
        <v>2072.6018532534076</v>
      </c>
      <c r="G12" s="24"/>
      <c r="H12" s="24"/>
      <c r="I12" s="24"/>
      <c r="J12" s="24">
        <f>J8*J10</f>
        <v>104.16778188071821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0.32204071749745816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275.70180680566443</v>
      </c>
      <c r="C26" s="246">
        <f>B26*'GWP N2O_CH4'!B5</f>
        <v>5789.7379429189532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79.312061076496136</v>
      </c>
      <c r="C27" s="246">
        <f>B27*'GWP N2O_CH4'!B5</f>
        <v>1665.5532826064189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4.2528412837744884</v>
      </c>
      <c r="C28" s="246">
        <f>B28*'GWP N2O_CH4'!B4</f>
        <v>1318.3807979700914</v>
      </c>
      <c r="D28" s="51"/>
    </row>
    <row r="29" spans="1:4">
      <c r="A29" s="42" t="s">
        <v>272</v>
      </c>
      <c r="B29" s="246">
        <f>B34*'ha_N2O bodem landbouw'!B4</f>
        <v>13.898719432433976</v>
      </c>
      <c r="C29" s="246">
        <f>B29*'GWP N2O_CH4'!B4</f>
        <v>4308.6030240545324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3.7522167113607295E-3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1.575014032243315E-5</v>
      </c>
      <c r="C5" s="435" t="s">
        <v>210</v>
      </c>
      <c r="D5" s="420">
        <f>SUM(D6:D11)</f>
        <v>2.1127916041720745E-5</v>
      </c>
      <c r="E5" s="420">
        <f>SUM(E6:E11)</f>
        <v>1.3413866527643473E-3</v>
      </c>
      <c r="F5" s="433" t="s">
        <v>210</v>
      </c>
      <c r="G5" s="420">
        <f>SUM(G6:G11)</f>
        <v>0.28593914030184131</v>
      </c>
      <c r="H5" s="420">
        <f>SUM(H6:H11)</f>
        <v>5.0560297954644118E-2</v>
      </c>
      <c r="I5" s="435" t="s">
        <v>210</v>
      </c>
      <c r="J5" s="435" t="s">
        <v>210</v>
      </c>
      <c r="K5" s="435" t="s">
        <v>210</v>
      </c>
      <c r="L5" s="435" t="s">
        <v>210</v>
      </c>
      <c r="M5" s="420">
        <f>SUM(M6:M11)</f>
        <v>1.5038988515244107E-2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1.0750116167618187E-5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1.2520461126889731E-5</v>
      </c>
      <c r="E6" s="423">
        <f>vkm_GW_PW*SUMIFS(TableVerdeelsleutelVkm[LPG],TableVerdeelsleutelVkm[Voertuigtype],"Lichte voertuigen")*SUMIFS(TableECFTransport[EnergieConsumptieFactor (PJ per km)],TableECFTransport[Index],CONCATENATE($A6,"_LPG_LPG"))</f>
        <v>8.1229534400434529E-4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0.12673334560361255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3.0542716239159495E-2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7.0381140100141014E-3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4.1232030605391193E-7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6.8206878055956516E-2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1.8302335891165395E-6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3.0349835701049318E-3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4.5250664079987551E-6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8.6074549148310154E-6</v>
      </c>
      <c r="E8" s="423">
        <f>vkm_NGW_PW*SUMIFS(TableVerdeelsleutelVkm[LPG],TableVerdeelsleutelVkm[Voertuigtype],"Lichte voertuigen")*SUMIFS(TableECFTransport[EnergieConsumptieFactor (PJ per km)],TableECFTransport[Index],CONCATENATE($A8,"_LPG_LPG"))</f>
        <v>5.2909130876000192E-4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7.7711747061183195E-2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2.0015415881666034E-2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4.3746561932287119E-3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6.2637440762299174E-8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1.3287169581089079E-2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3.3560022947089081E-7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5.9123474189636308E-4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4.3750389784536523</v>
      </c>
      <c r="C14" s="22"/>
      <c r="D14" s="22">
        <f t="shared" ref="D14:M14" si="0">((D5)*10^9/3600)+D12</f>
        <v>5.8688655671446517</v>
      </c>
      <c r="E14" s="22">
        <f t="shared" si="0"/>
        <v>372.60740354565206</v>
      </c>
      <c r="F14" s="22"/>
      <c r="G14" s="22">
        <f t="shared" si="0"/>
        <v>79427.538972733702</v>
      </c>
      <c r="H14" s="22">
        <f t="shared" si="0"/>
        <v>14044.527209623368</v>
      </c>
      <c r="I14" s="22"/>
      <c r="J14" s="22"/>
      <c r="K14" s="22"/>
      <c r="L14" s="22"/>
      <c r="M14" s="22">
        <f t="shared" si="0"/>
        <v>4177.4968097900301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0.20837629835854718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0.91165442750453174</v>
      </c>
      <c r="C18" s="24"/>
      <c r="D18" s="24">
        <f t="shared" ref="D18:M18" si="1">D14*D16</f>
        <v>1.1855108445632196</v>
      </c>
      <c r="E18" s="24">
        <f t="shared" si="1"/>
        <v>84.581880604863017</v>
      </c>
      <c r="F18" s="24"/>
      <c r="G18" s="24">
        <f t="shared" si="1"/>
        <v>21207.1529057199</v>
      </c>
      <c r="H18" s="24">
        <f t="shared" si="1"/>
        <v>3497.0872751962183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1.2113044940615727E-5</v>
      </c>
      <c r="C50" s="316">
        <f t="shared" ref="C50:P50" si="2">SUM(C51:C52)</f>
        <v>0</v>
      </c>
      <c r="D50" s="316">
        <f t="shared" si="2"/>
        <v>0</v>
      </c>
      <c r="E50" s="316">
        <f t="shared" si="2"/>
        <v>0</v>
      </c>
      <c r="F50" s="316">
        <f t="shared" si="2"/>
        <v>0</v>
      </c>
      <c r="G50" s="316">
        <f t="shared" si="2"/>
        <v>2.4159706950654699E-3</v>
      </c>
      <c r="H50" s="316">
        <f t="shared" si="2"/>
        <v>0</v>
      </c>
      <c r="I50" s="316">
        <f t="shared" si="2"/>
        <v>0</v>
      </c>
      <c r="J50" s="316">
        <f t="shared" si="2"/>
        <v>0</v>
      </c>
      <c r="K50" s="316">
        <f t="shared" si="2"/>
        <v>0</v>
      </c>
      <c r="L50" s="316">
        <f t="shared" si="2"/>
        <v>0</v>
      </c>
      <c r="M50" s="316">
        <f t="shared" si="2"/>
        <v>1.0678333156866316E-4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1.2113044940615727E-5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2.4159706950654699E-3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1.0678333156866316E-4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3.3647347057265904</v>
      </c>
      <c r="C54" s="22">
        <f t="shared" ref="C54:P54" si="3">(C50)*10^9/3600</f>
        <v>0</v>
      </c>
      <c r="D54" s="22">
        <f t="shared" si="3"/>
        <v>0</v>
      </c>
      <c r="E54" s="22">
        <f t="shared" si="3"/>
        <v>0</v>
      </c>
      <c r="F54" s="22">
        <f t="shared" si="3"/>
        <v>0</v>
      </c>
      <c r="G54" s="22">
        <f t="shared" si="3"/>
        <v>671.10297085151944</v>
      </c>
      <c r="H54" s="22">
        <f t="shared" si="3"/>
        <v>0</v>
      </c>
      <c r="I54" s="22">
        <f t="shared" si="3"/>
        <v>0</v>
      </c>
      <c r="J54" s="22">
        <f t="shared" si="3"/>
        <v>0</v>
      </c>
      <c r="K54" s="22">
        <f t="shared" si="3"/>
        <v>0</v>
      </c>
      <c r="L54" s="22">
        <f t="shared" si="3"/>
        <v>0</v>
      </c>
      <c r="M54" s="22">
        <f t="shared" si="3"/>
        <v>29.662036546850882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0.20837629835854718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0.70113096293784249</v>
      </c>
      <c r="C58" s="24">
        <f t="shared" ref="C58:P58" ca="1" si="4">C54*C56</f>
        <v>0</v>
      </c>
      <c r="D58" s="24">
        <f t="shared" si="4"/>
        <v>0</v>
      </c>
      <c r="E58" s="24">
        <f t="shared" si="4"/>
        <v>0</v>
      </c>
      <c r="F58" s="24">
        <f t="shared" si="4"/>
        <v>0</v>
      </c>
      <c r="G58" s="24">
        <f t="shared" si="4"/>
        <v>179.18449321735571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2826.809242578408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2826.809242578408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2021-06-29T16:47:07Z</dcterms:modified>
</cp:coreProperties>
</file>