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<sst xmlns="http://schemas.openxmlformats.org/spreadsheetml/2006/main" count="2574" uniqueCount="971">
  <si>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</si>
  <si>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</si>
  <si>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</si>
  <si>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</si>
  <si>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</si>
  <si>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</si>
  <si>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</si>
  <si>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</si>
  <si>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</si>
  <si>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</si>
  <si>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</si>
  <si>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</si>
  <si>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</si>
  <si>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</si>
  <si>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</si>
  <si>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</si>
  <si>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</si>
  <si>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</si>
  <si>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</si>
  <si>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</si>
  <si>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</si>
  <si>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</si>
  <si>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</si>
  <si>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</si>
  <si>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</si>
  <si>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</si>
  <si>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</si>
  <si>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</si>
  <si>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</si>
  <si>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</si>
  <si>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</si>
  <si>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</si>
  <si>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</si>
  <si>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</si>
  <si>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</si>
  <si>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</si>
  <si>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</si>
  <si>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</si>
  <si>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</si>
  <si>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</si>
  <si>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</si>
  <si>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</si>
  <si>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</si>
  <si>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</si>
  <si>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</si>
  <si>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</si>
  <si>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</si>
  <si>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</si>
  <si>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</si>
  <si>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</si>
  <si>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</si>
  <si>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</si>
  <si>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</si>
  <si>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</si>
  <si>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</si>
  <si>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</si>
  <si>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</si>
  <si>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</si>
  <si>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</si>
  <si>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</si>
  <si>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</si>
  <si>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</si>
  <si>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</si>
  <si>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</si>
  <si>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</si>
  <si>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</si>
  <si>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</si>
  <si>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</si>
  <si>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</si>
  <si>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</si>
  <si>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</si>
  <si>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</si>
  <si>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</si>
  <si>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</si>
  <si>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</si>
  <si>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</si>
  <si>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</si>
  <si>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</si>
  <si>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</si>
  <si>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</si>
  <si>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</si>
  <si>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</si>
  <si>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</si>
  <si>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</si>
  <si>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</si>
  <si>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</si>
  <si>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</si>
  <si>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</si>
  <si>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</si>
  <si>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</si>
  <si>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</si>
  <si>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</si>
  <si>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</si>
  <si>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</si>
  <si>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</si>
  <si>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</si>
  <si>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</si>
  <si>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</si>
  <si>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</si>
  <si>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</si>
  <si>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</si>
  <si>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</si>
  <si>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</si>
  <si>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</si>
  <si>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</si>
  <si>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</si>
  <si>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</si>
  <si>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</si>
  <si>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</si>
  <si>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</si>
  <si>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</si>
  <si>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</si>
  <si>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</si>
  <si>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</si>
  <si>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</si>
  <si>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</si>
  <si>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</si>
  <si>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</si>
  <si>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</si>
  <si>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</si>
  <si>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</si>
  <si>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</si>
  <si>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</si>
  <si>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</si>
  <si>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</si>
  <si>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</si>
  <si>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</si>
  <si>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</si>
  <si>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</si>
  <si>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</si>
  <si>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</si>
  <si>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</si>
  <si>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</si>
  <si>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</si>
  <si>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</si>
  <si>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</si>
  <si>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</si>
  <si>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</si>
  <si>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</si>
  <si>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</si>
  <si>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</si>
  <si>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</si>
  <si>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</si>
  <si>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</si>
  <si>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</si>
  <si>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</si>
  <si>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</si>
  <si>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</si>
  <si>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</si>
  <si>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</si>
  <si>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</si>
  <si>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</si>
  <si>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</si>
  <si>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</si>
  <si>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</si>
  <si>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</si>
  <si>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</si>
  <si>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</si>
  <si>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</si>
  <si>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</si>
  <si>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</si>
  <si>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</si>
  <si>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</si>
  <si>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</si>
  <si>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</si>
  <si>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</si>
  <si>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</si>
  <si>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</si>
  <si>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</si>
  <si>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</si>
  <si>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</si>
  <si>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</si>
  <si>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</si>
  <si>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</si>
  <si>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</si>
  <si>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</si>
  <si>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</si>
  <si>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</si>
  <si>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</si>
  <si>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</si>
  <si>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</si>
  <si>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</si>
  <si>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</si>
  <si>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</si>
  <si>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</si>
  <si>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</si>
  <si>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</si>
  <si>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</si>
  <si>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</si>
  <si>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</si>
  <si>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</si>
  <si>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</si>
  <si>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</si>
  <si>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</si>
  <si>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</si>
  <si>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</si>
  <si>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</si>
  <si>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</si>
  <si>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</si>
  <si>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</si>
  <si>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</si>
  <si>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</si>
  <si>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</si>
  <si>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</si>
  <si>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</si>
  <si>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</si>
  <si>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</si>
  <si>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</si>
  <si>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</si>
  <si>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</si>
  <si>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</si>
  <si>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</si>
  <si>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</si>
  <si>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</si>
  <si>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</si>
  <si>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</si>
  <si>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</si>
  <si>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</si>
  <si>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</si>
  <si>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</si>
  <si>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</si>
  <si>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</si>
  <si>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</si>
  <si>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</si>
  <si>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</si>
  <si>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</si>
  <si>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</si>
  <si>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</si>
  <si>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</si>
  <si>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</si>
  <si>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</si>
  <si>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</si>
  <si>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</si>
  <si>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</si>
  <si>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</si>
  <si>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</si>
  <si>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</si>
  <si>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</si>
  <si>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</si>
  <si>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</si>
  <si>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</si>
  <si>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</si>
  <si>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</si>
  <si>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</si>
  <si>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</si>
  <si>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</si>
  <si>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</si>
  <si>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</si>
  <si>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</si>
  <si>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</si>
  <si>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</si>
  <si>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</si>
  <si>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</si>
  <si>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</si>
  <si>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</si>
  <si>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</si>
  <si>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</si>
  <si>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</si>
  <si>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</si>
  <si>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</si>
  <si>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</si>
  <si>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</si>
  <si>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</si>
  <si>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</si>
  <si>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</si>
  <si>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</si>
  <si>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</si>
  <si>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</si>
  <si>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</si>
  <si>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</si>
  <si>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</si>
  <si>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</si>
  <si>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</si>
  <si>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</si>
  <si>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</si>
  <si>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</si>
  <si>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</si>
  <si>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</si>
  <si>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</si>
  <si>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</si>
  <si>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</si>
  <si>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</si>
  <si>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</si>
  <si>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</si>
  <si>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</si>
  <si>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</si>
  <si>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</si>
  <si>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</si>
  <si>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</si>
  <si>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</si>
  <si>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</si>
  <si>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</si>
  <si>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</si>
  <si>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</si>
  <si>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</si>
  <si>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</si>
  <si>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</si>
  <si>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</si>
  <si>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</si>
  <si>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</si>
  <si>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</si>
  <si>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</si>
  <si>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</si>
  <si>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</si>
  <si>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</si>
  <si>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</si>
  <si>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</si>
  <si>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</si>
  <si>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</si>
  <si>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</si>
  <si>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</si>
  <si>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</si>
  <si>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</si>
  <si>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</si>
  <si>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</si>
  <si>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</si>
  <si>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</si>
  <si>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</si>
  <si>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</si>
  <si>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</si>
  <si>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</si>
  <si>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</si>
  <si>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</si>
  <si>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</si>
  <si>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</si>
  <si>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</si>
  <si>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</si>
  <si>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</si>
  <si>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</si>
  <si>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</si>
  <si>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</si>
  <si>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</si>
  <si>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</si>
  <si>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</si>
  <si>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</si>
  <si>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</si>
  <si>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</si>
  <si>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</si>
  <si>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</si>
  <si>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</si>
  <si>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</si>
  <si>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</si>
  <si>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</si>
  <si>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</si>
  <si>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</si>
  <si>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</si>
  <si>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</si>
  <si>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</si>
  <si>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</si>
  <si>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</si>
  <si>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</si>
  <si>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</si>
  <si>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</si>
  <si>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</si>
  <si>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</si>
  <si>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</si>
  <si>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</si>
  <si>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</si>
  <si>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</si>
  <si>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</si>
  <si>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</si>
  <si>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</si>
  <si>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</si>
  <si>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</si>
  <si>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</si>
  <si>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</si>
  <si>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</si>
  <si>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</si>
  <si>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</si>
  <si>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</si>
  <si>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</si>
  <si>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</si>
  <si>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</si>
  <si>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</si>
  <si>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</si>
  <si>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</si>
  <si>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</si>
  <si>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</si>
  <si>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</si>
  <si>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</si>
  <si>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</si>
  <si>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</si>
  <si>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</si>
  <si>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</si>
  <si>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</si>
  <si>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</si>
  <si>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</si>
  <si>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</si>
  <si>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</si>
  <si>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</si>
  <si>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</si>
  <si>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</si>
  <si>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</si>
  <si>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</si>
  <si>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</si>
  <si>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</si>
  <si>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</si>
  <si>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</si>
  <si>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</si>
  <si>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</si>
  <si>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</si>
  <si>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</si>
  <si>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</si>
  <si>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</si>
  <si>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</si>
  <si>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</si>
  <si>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</si>
  <si>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</si>
  <si>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</si>
  <si>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</si>
  <si>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</si>
  <si>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</si>
  <si>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</si>
  <si>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</si>
  <si>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</si>
  <si>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</si>
  <si>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</si>
  <si>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</si>
  <si>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</si>
  <si>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</si>
  <si>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</si>
  <si>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</si>
  <si>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</si>
  <si>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</si>
  <si>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</si>
  <si>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</si>
  <si>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</si>
  <si>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</si>
  <si>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</si>
  <si>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</si>
  <si>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</si>
  <si>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</si>
  <si>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</si>
  <si>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</si>
  <si>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</si>
  <si>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</si>
  <si>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</si>
  <si>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</si>
  <si>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</si>
  <si>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</si>
  <si>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</si>
  <si>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</si>
  <si>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</si>
  <si>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</si>
  <si>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</si>
  <si>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</si>
  <si>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</si>
  <si>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</si>
  <si>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</si>
  <si>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</si>
  <si>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</si>
  <si>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</si>
  <si>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</si>
  <si>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</si>
  <si>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</si>
  <si>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</si>
  <si>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</si>
  <si>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</si>
  <si>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</si>
  <si>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</si>
  <si>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</si>
  <si>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</si>
  <si>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</si>
  <si>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</si>
  <si>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</si>
  <si>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</si>
  <si>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</si>
  <si>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</si>
  <si>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</si>
  <si>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</si>
  <si>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</si>
  <si>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</si>
  <si>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</si>
  <si>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</si>
  <si>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</si>
  <si>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</si>
  <si>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</si>
  <si>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</si>
  <si>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</si>
  <si>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</si>
  <si>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</si>
  <si>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</si>
  <si>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</si>
  <si>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</si>
  <si>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</si>
  <si>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</si>
  <si>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</si>
  <si>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</si>
  <si>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</si>
  <si>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</si>
  <si>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</si>
  <si>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</si>
  <si>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</si>
  <si>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</si>
  <si>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</si>
  <si>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</si>
  <si>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</si>
  <si>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</si>
  <si>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</si>
  <si>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</si>
  <si>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</si>
  <si>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</si>
  <si>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</si>
  <si>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</si>
  <si>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</si>
  <si>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</si>
  <si>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</si>
  <si>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</si>
  <si>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</si>
  <si>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</si>
  <si>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</si>
  <si>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</si>
  <si>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</si>
  <si>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</si>
  <si>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</si>
  <si>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</si>
  <si>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</si>
  <si>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</si>
  <si>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</si>
  <si>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</si>
  <si>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</si>
  <si>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</si>
  <si>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</si>
  <si>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</si>
  <si>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</si>
  <si>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</si>
  <si>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</si>
  <si>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</si>
  <si>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</si>
  <si>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</si>
  <si>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</si>
  <si>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</si>
  <si>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</si>
  <si>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</si>
  <si>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</si>
  <si>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</si>
  <si>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</si>
  <si>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</si>
  <si>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</si>
  <si>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</si>
  <si>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</si>
  <si>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</si>
  <si>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</si>
  <si>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</si>
  <si>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</si>
  <si>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</si>
  <si>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</si>
  <si>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</si>
  <si>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</si>
  <si>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</si>
  <si>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</si>
  <si>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</si>
  <si>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</si>
  <si>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</si>
  <si>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</si>
  <si>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</si>
  <si>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</si>
  <si>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</si>
  <si>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</si>
  <si>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</si>
  <si>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</si>
  <si>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</si>
  <si>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</si>
  <si>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</si>
  <si>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</si>
  <si>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</si>
  <si>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</si>
  <si>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</si>
  <si>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</si>
  <si>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</si>
  <si>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</si>
  <si>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</si>
  <si>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</si>
  <si>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</si>
  <si>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</si>
  <si>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</si>
  <si>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</si>
  <si>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</si>
  <si>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</si>
  <si>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</si>
  <si>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</si>
  <si>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</si>
  <si>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</si>
  <si>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</si>
  <si>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</si>
  <si>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</si>
  <si>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</si>
  <si>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</si>
  <si>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</si>
  <si>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</si>
  <si>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</si>
  <si>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</si>
  <si>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</si>
  <si>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</si>
  <si>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</si>
  <si>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</si>
  <si>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</si>
  <si>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</si>
  <si>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</si>
  <si>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</si>
  <si>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</si>
  <si>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</si>
  <si>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</si>
  <si>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</si>
  <si>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</si>
  <si>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</si>
  <si>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</si>
  <si>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</si>
  <si>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</si>
  <si>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</si>
  <si>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</si>
  <si>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</si>
  <si>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</si>
  <si>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</si>
  <si>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</si>
  <si>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</si>
  <si>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</si>
  <si>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</si>
  <si>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</si>
  <si>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</si>
  <si>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</si>
  <si>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</si>
  <si>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</si>
  <si>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</si>
  <si>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</si>
  <si>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</si>
  <si>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</si>
  <si>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</si>
  <si>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</si>
  <si>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</si>
  <si>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</si>
  <si>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</si>
  <si>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</si>
  <si>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</si>
  <si>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</si>
  <si>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</si>
  <si>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</si>
  <si>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</si>
  <si>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</si>
  <si>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</si>
  <si>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</si>
  <si>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</si>
  <si>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</si>
  <si>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</si>
  <si>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</si>
  <si>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</si>
  <si>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</si>
  <si>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</si>
  <si>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</si>
  <si>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</si>
  <si>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</si>
  <si>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</si>
  <si>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</si>
  <si>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</si>
  <si>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</si>
  <si>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</si>
  <si>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</si>
  <si>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</si>
  <si>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</si>
  <si>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</si>
  <si>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</si>
  <si>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</si>
  <si>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</si>
  <si>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</si>
  <si>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</si>
  <si>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</si>
  <si>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</si>
  <si>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</si>
  <si>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</si>
  <si>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</si>
  <si>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</si>
  <si>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</si>
  <si>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</si>
  <si>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</si>
  <si>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</si>
  <si>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</si>
  <si>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</si>
  <si>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</si>
  <si>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</si>
  <si>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</si>
  <si>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</si>
  <si>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</si>
  <si>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</si>
  <si>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</si>
  <si>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</si>
  <si>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</si>
  <si>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</si>
  <si>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</si>
  <si>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</si>
  <si>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</si>
  <si>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</si>
  <si>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</si>
  <si>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</si>
  <si>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</si>
  <si>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</si>
  <si>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</si>
  <si>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</si>
  <si>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</si>
  <si>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</si>
  <si>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</si>
  <si>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</si>
  <si>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</si>
  <si>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</si>
  <si>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</si>
  <si>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</si>
  <si>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</si>
  <si>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</si>
  <si>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</si>
  <si>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</si>
  <si>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</si>
  <si>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</si>
  <si>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</si>
  <si>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</si>
  <si>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</si>
  <si>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</si>
  <si>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</si>
  <si>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</si>
  <si>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</si>
  <si>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</si>
  <si>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</si>
  <si>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</si>
  <si>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</si>
  <si>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</si>
  <si>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</si>
  <si>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</si>
  <si>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</si>
  <si>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</si>
  <si>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</si>
  <si>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</si>
  <si>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</si>
  <si>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</si>
  <si>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</si>
  <si>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</si>
  <si>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</si>
  <si>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</si>
  <si>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</si>
  <si>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</si>
  <si>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</si>
  <si>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</si>
  <si>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</si>
  <si>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</si>
  <si>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</si>
  <si>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</si>
  <si>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</si>
  <si>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</si>
  <si>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</si>
  <si>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</si>
  <si>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</si>
  <si>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</si>
  <si>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</si>
  <si>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</si>
  <si>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</si>
  <si>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</si>
  <si>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</si>
  <si>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</si>
  <si>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</si>
  <si>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</si>
  <si>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</si>
  <si>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</si>
  <si>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</si>
  <si>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</si>
  <si>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</si>
  <si>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</si>
  <si>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</si>
  <si>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</si>
  <si>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</si>
  <si>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</si>
  <si>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</si>
  <si>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</si>
  <si>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</si>
  <si>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</si>
  <si>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</si>
  <si>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</si>
  <si>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</si>
  <si>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</si>
  <si>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</si>
  <si>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</si>
  <si>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</si>
  <si>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</si>
  <si>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</si>
  <si>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</si>
  <si>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</si>
  <si>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</si>
  <si>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</si>
  <si>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</si>
  <si>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</si>
  <si>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</si>
  <si>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</si>
  <si>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</si>
  <si>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</si>
  <si>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</si>
  <si>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</si>
  <si>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</si>
  <si>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</si>
  <si>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</si>
  <si>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</si>
  <si>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</si>
  <si>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</si>
  <si>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</si>
  <si>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</si>
  <si>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</si>
  <si>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</si>
  <si>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</si>
  <si>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</si>
  <si>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</si>
  <si>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</si>
  <si>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</si>
  <si>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</si>
  <si>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</si>
  <si>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</si>
  <si>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</si>
  <si>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</si>
  <si>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</si>
  <si>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</si>
  <si>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</si>
  <si>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</si>
  <si>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</si>
  <si>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</si>
  <si>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</si>
  <si>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</si>
  <si>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</si>
  <si>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</si>
  <si>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</si>
  <si>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</si>
  <si>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</si>
  <si>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</si>
  <si>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</si>
  <si>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</si>
  <si>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</si>
  <si>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</si>
  <si>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</si>
  <si>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</si>
  <si>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</si>
  <si>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</si>
  <si>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</si>
  <si>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</si>
  <si>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</si>
  <si>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</si>
  <si>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</si>
  <si>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</si>
  <si>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</si>
  <si>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</si>
  <si>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</si>
  <si>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</si>
  <si>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</si>
  <si>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</si>
  <si>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</si>
  <si>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</si>
  <si>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</si>
  <si>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</si>
  <si>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</si>
  <si>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</si>
  <si>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</si>
  <si>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</si>
  <si>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</si>
  <si>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</si>
  <si>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</si>
  <si>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</si>
  <si>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</si>
  <si>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</si>
  <si>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</si>
  <si>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</si>
  <si>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</si>
  <si>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</si>
  <si>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</si>
  <si>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</si>
  <si>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</si>
  <si>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</si>
  <si>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</si>
  <si>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</si>
  <si>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</si>
  <si>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</si>
  <si>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</si>
  <si>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</si>
  <si>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</si>
  <si>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</si>
  <si>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</si>
  <si>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</si>
  <si>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</si>
  <si>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</si>
  <si>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</si>
  <si>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</si>
  <si>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</si>
  <si>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</si>
  <si>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</si>
  <si>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</si>
  <si>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</si>
  <si>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</si>
  <si>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</si>
  <si>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</si>
  <si>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</si>
  <si>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</si>
  <si>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</si>
  <si>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</si>
  <si>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</si>
  <si>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</si>
  <si>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</si>
  <si>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</si>
  <si>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</si>
  <si>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</si>
  <si>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</si>
  <si>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</si>
  <si>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</si>
  <si>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</si>
  <si>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</si>
  <si>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</si>
  <si>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</si>
  <si>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</si>
  <si>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</si>
  <si>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</si>
  <si>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</si>
  <si>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</si>
  <si>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</si>
  <si>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</si>
  <si>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</si>
  <si>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</si>
  <si>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</si>
  <si>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</si>
  <si>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</si>
  <si>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</si>
  <si>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</si>
  <si>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</si>
  <si>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</si>
  <si>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</si>
  <si>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</si>
  <si>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</si>
  <si>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</si>
  <si>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</si>
  <si>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</si>
  <si>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</si>
  <si>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</si>
  <si>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</si>
  <si>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</si>
  <si>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</si>
  <si>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</si>
  <si>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</si>
  <si>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</si>
  <si>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</si>
  <si>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</si>
  <si>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</si>
  <si>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</si>
  <si>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</si>
  <si>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</si>
  <si>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</si>
  <si>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</si>
  <si>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</si>
  <si>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</si>
  <si>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</si>
  <si>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</si>
  <si>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</si>
  <si>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</si>
  <si>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</si>
  <si>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</si>
  <si>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</si>
  <si>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</si>
  <si>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</si>
  <si>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</si>
  <si>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</si>
  <si>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</si>
  <si>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43007</t>
  </si>
  <si>
    <t>KAPRIJKE</t>
  </si>
  <si>
    <t>Paarden&amp;pony's 200 - 600 kg</t>
  </si>
  <si>
    <t>Paarden&amp;pony's &lt; 200 kg</t>
  </si>
  <si>
    <t>Fluvius</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</si>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</sst>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43007</v>
      </c>
      <c r="B6" s="386"/>
      <c r="C6" s="387"/>
    </row>
    <row r="7" spans="1:7" s="384" customFormat="1" ht="15.75" customHeight="1">
      <c r="A7" s="388" t="str">
        <f>txtMunicipality</f>
        <v>KAPRIJKE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7183.9020456599737</v>
      </c>
      <c r="D10" s="676">
        <f ca="1">tertiair!C16</f>
        <v>0</v>
      </c>
      <c r="E10" s="676">
        <f ca="1">tertiair!D16</f>
        <v>4001.2858012430206</v>
      </c>
      <c r="F10" s="676">
        <f>tertiair!E16</f>
        <v>80.554975586793802</v>
      </c>
      <c r="G10" s="676">
        <f ca="1">tertiair!F16</f>
        <v>1377.4147587962891</v>
      </c>
      <c r="H10" s="676">
        <f>tertiair!G16</f>
        <v>0</v>
      </c>
      <c r="I10" s="676">
        <f>tertiair!H16</f>
        <v>0</v>
      </c>
      <c r="J10" s="676">
        <f>tertiair!I16</f>
        <v>0</v>
      </c>
      <c r="K10" s="676">
        <f>tertiair!J16</f>
        <v>0</v>
      </c>
      <c r="L10" s="676">
        <f>tertiair!K16</f>
        <v>0</v>
      </c>
      <c r="M10" s="676">
        <f ca="1">tertiair!L16</f>
        <v>0</v>
      </c>
      <c r="N10" s="676">
        <f>tertiair!M16</f>
        <v>0</v>
      </c>
      <c r="O10" s="676">
        <f ca="1">tertiair!N16</f>
        <v>836.98661042462697</v>
      </c>
      <c r="P10" s="676">
        <f>tertiair!O16</f>
        <v>3.1266666666666669</v>
      </c>
      <c r="Q10" s="677">
        <f>tertiair!P16</f>
        <v>0</v>
      </c>
      <c r="R10" s="679">
        <f ca="1">SUM(C10:Q10)</f>
        <v>13483.270858377371</v>
      </c>
      <c r="S10" s="68"/>
    </row>
    <row r="11" spans="1:19" s="445" customFormat="1">
      <c r="A11" s="791" t="s">
        <v>220</v>
      </c>
      <c r="B11" s="796"/>
      <c r="C11" s="676">
        <f>huishoudens!B8</f>
        <v>13787.997577801989</v>
      </c>
      <c r="D11" s="676">
        <f>huishoudens!C8</f>
        <v>0</v>
      </c>
      <c r="E11" s="676">
        <f>huishoudens!D8</f>
        <v>18810.157444219905</v>
      </c>
      <c r="F11" s="676">
        <f>huishoudens!E8</f>
        <v>763.61608593411358</v>
      </c>
      <c r="G11" s="676">
        <f>huishoudens!F8</f>
        <v>23280.437456708947</v>
      </c>
      <c r="H11" s="676">
        <f>huishoudens!G8</f>
        <v>0</v>
      </c>
      <c r="I11" s="676">
        <f>huishoudens!H8</f>
        <v>0</v>
      </c>
      <c r="J11" s="676">
        <f>huishoudens!I8</f>
        <v>0</v>
      </c>
      <c r="K11" s="676">
        <f>huishoudens!J8</f>
        <v>422.41542568053939</v>
      </c>
      <c r="L11" s="676">
        <f>huishoudens!K8</f>
        <v>0</v>
      </c>
      <c r="M11" s="676">
        <f>huishoudens!L8</f>
        <v>0</v>
      </c>
      <c r="N11" s="676">
        <f>huishoudens!M8</f>
        <v>0</v>
      </c>
      <c r="O11" s="676">
        <f>huishoudens!N8</f>
        <v>3848.8357712921784</v>
      </c>
      <c r="P11" s="676">
        <f>huishoudens!O8</f>
        <v>40.646666666666668</v>
      </c>
      <c r="Q11" s="677">
        <f>huishoudens!P8</f>
        <v>286</v>
      </c>
      <c r="R11" s="679">
        <f>SUM(C11:Q11)</f>
        <v>61240.106428304338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9396.5359692845486</v>
      </c>
      <c r="D13" s="676">
        <f>industrie!C18</f>
        <v>0</v>
      </c>
      <c r="E13" s="676">
        <f>industrie!D18</f>
        <v>17225.992915027742</v>
      </c>
      <c r="F13" s="676">
        <f>industrie!E18</f>
        <v>82.724632655384028</v>
      </c>
      <c r="G13" s="676">
        <f>industrie!F18</f>
        <v>2167.551878747704</v>
      </c>
      <c r="H13" s="676">
        <f>industrie!G18</f>
        <v>0</v>
      </c>
      <c r="I13" s="676">
        <f>industrie!H18</f>
        <v>0</v>
      </c>
      <c r="J13" s="676">
        <f>industrie!I18</f>
        <v>0</v>
      </c>
      <c r="K13" s="676">
        <f>industrie!J18</f>
        <v>45.177096538202733</v>
      </c>
      <c r="L13" s="676">
        <f>industrie!K18</f>
        <v>0</v>
      </c>
      <c r="M13" s="676">
        <f>industrie!L18</f>
        <v>0</v>
      </c>
      <c r="N13" s="676">
        <f>industrie!M18</f>
        <v>0</v>
      </c>
      <c r="O13" s="676">
        <f>industrie!N18</f>
        <v>311.21641246429158</v>
      </c>
      <c r="P13" s="676">
        <f>industrie!O18</f>
        <v>0</v>
      </c>
      <c r="Q13" s="677">
        <f>industrie!P18</f>
        <v>0</v>
      </c>
      <c r="R13" s="679">
        <f>SUM(C13:Q13)</f>
        <v>29229.198904717872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30368.435592746511</v>
      </c>
      <c r="D16" s="709">
        <f t="shared" ref="D16:R16" ca="1" si="0">SUM(D9:D15)</f>
        <v>0</v>
      </c>
      <c r="E16" s="709">
        <f t="shared" ca="1" si="0"/>
        <v>40037.436160490674</v>
      </c>
      <c r="F16" s="709">
        <f t="shared" si="0"/>
        <v>926.8956941762915</v>
      </c>
      <c r="G16" s="709">
        <f t="shared" ca="1" si="0"/>
        <v>26825.404094252943</v>
      </c>
      <c r="H16" s="709">
        <f t="shared" si="0"/>
        <v>0</v>
      </c>
      <c r="I16" s="709">
        <f t="shared" si="0"/>
        <v>0</v>
      </c>
      <c r="J16" s="709">
        <f t="shared" si="0"/>
        <v>0</v>
      </c>
      <c r="K16" s="709">
        <f t="shared" si="0"/>
        <v>467.59252221874215</v>
      </c>
      <c r="L16" s="709">
        <f t="shared" si="0"/>
        <v>0</v>
      </c>
      <c r="M16" s="709">
        <f t="shared" ca="1" si="0"/>
        <v>0</v>
      </c>
      <c r="N16" s="709">
        <f t="shared" si="0"/>
        <v>0</v>
      </c>
      <c r="O16" s="709">
        <f t="shared" ca="1" si="0"/>
        <v>4997.0387941810968</v>
      </c>
      <c r="P16" s="709">
        <f t="shared" si="0"/>
        <v>43.773333333333333</v>
      </c>
      <c r="Q16" s="709">
        <f t="shared" si="0"/>
        <v>286</v>
      </c>
      <c r="R16" s="709">
        <f t="shared" ca="1" si="0"/>
        <v>103952.57619139957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3.7611743208894559</v>
      </c>
      <c r="D19" s="676">
        <f>transport!C54</f>
        <v>0</v>
      </c>
      <c r="E19" s="676">
        <f>transport!D54</f>
        <v>0</v>
      </c>
      <c r="F19" s="676">
        <f>transport!E54</f>
        <v>0</v>
      </c>
      <c r="G19" s="676">
        <f>transport!F54</f>
        <v>0</v>
      </c>
      <c r="H19" s="676">
        <f>transport!G54</f>
        <v>750.17363370236058</v>
      </c>
      <c r="I19" s="676">
        <f>transport!H54</f>
        <v>0</v>
      </c>
      <c r="J19" s="676">
        <f>transport!I54</f>
        <v>0</v>
      </c>
      <c r="K19" s="676">
        <f>transport!J54</f>
        <v>0</v>
      </c>
      <c r="L19" s="676">
        <f>transport!K54</f>
        <v>0</v>
      </c>
      <c r="M19" s="676">
        <f>transport!L54</f>
        <v>0</v>
      </c>
      <c r="N19" s="676">
        <f>transport!M54</f>
        <v>33.15687562987484</v>
      </c>
      <c r="O19" s="676">
        <f>transport!N54</f>
        <v>0</v>
      </c>
      <c r="P19" s="676">
        <f>transport!O54</f>
        <v>0</v>
      </c>
      <c r="Q19" s="677">
        <f>transport!P54</f>
        <v>0</v>
      </c>
      <c r="R19" s="679">
        <f>SUM(C19:Q19)</f>
        <v>787.09168365312496</v>
      </c>
      <c r="S19" s="68"/>
    </row>
    <row r="20" spans="1:19" s="445" customFormat="1">
      <c r="A20" s="791" t="s">
        <v>302</v>
      </c>
      <c r="B20" s="796"/>
      <c r="C20" s="676">
        <f>transport!B14</f>
        <v>3.0005856264108166</v>
      </c>
      <c r="D20" s="676">
        <f>transport!C14</f>
        <v>0</v>
      </c>
      <c r="E20" s="676">
        <f>transport!D14</f>
        <v>3.7860432734376617</v>
      </c>
      <c r="F20" s="676">
        <f>transport!E14</f>
        <v>241.86006671302866</v>
      </c>
      <c r="G20" s="676">
        <f>transport!F14</f>
        <v>0</v>
      </c>
      <c r="H20" s="676">
        <f>transport!G14</f>
        <v>57023.389257889576</v>
      </c>
      <c r="I20" s="676">
        <f>transport!H14</f>
        <v>9110.1760542261327</v>
      </c>
      <c r="J20" s="676">
        <f>transport!I14</f>
        <v>0</v>
      </c>
      <c r="K20" s="676">
        <f>transport!J14</f>
        <v>0</v>
      </c>
      <c r="L20" s="676">
        <f>transport!K14</f>
        <v>0</v>
      </c>
      <c r="M20" s="676">
        <f>transport!L14</f>
        <v>0</v>
      </c>
      <c r="N20" s="676">
        <f>transport!M14</f>
        <v>2954.588320338743</v>
      </c>
      <c r="O20" s="676">
        <f>transport!N14</f>
        <v>0</v>
      </c>
      <c r="P20" s="676">
        <f>transport!O14</f>
        <v>0</v>
      </c>
      <c r="Q20" s="677">
        <f>transport!P14</f>
        <v>0</v>
      </c>
      <c r="R20" s="679">
        <f>SUM(C20:Q20)</f>
        <v>69336.800328067329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6.7617599473002725</v>
      </c>
      <c r="D22" s="794">
        <f t="shared" ref="D22:R22" si="1">SUM(D18:D21)</f>
        <v>0</v>
      </c>
      <c r="E22" s="794">
        <f t="shared" si="1"/>
        <v>3.7860432734376617</v>
      </c>
      <c r="F22" s="794">
        <f t="shared" si="1"/>
        <v>241.86006671302866</v>
      </c>
      <c r="G22" s="794">
        <f t="shared" si="1"/>
        <v>0</v>
      </c>
      <c r="H22" s="794">
        <f t="shared" si="1"/>
        <v>57773.562891591937</v>
      </c>
      <c r="I22" s="794">
        <f t="shared" si="1"/>
        <v>9110.1760542261327</v>
      </c>
      <c r="J22" s="794">
        <f t="shared" si="1"/>
        <v>0</v>
      </c>
      <c r="K22" s="794">
        <f t="shared" si="1"/>
        <v>0</v>
      </c>
      <c r="L22" s="794">
        <f t="shared" si="1"/>
        <v>0</v>
      </c>
      <c r="M22" s="794">
        <f t="shared" si="1"/>
        <v>0</v>
      </c>
      <c r="N22" s="794">
        <f t="shared" si="1"/>
        <v>2987.7451959686177</v>
      </c>
      <c r="O22" s="794">
        <f t="shared" si="1"/>
        <v>0</v>
      </c>
      <c r="P22" s="794">
        <f t="shared" si="1"/>
        <v>0</v>
      </c>
      <c r="Q22" s="794">
        <f t="shared" si="1"/>
        <v>0</v>
      </c>
      <c r="R22" s="794">
        <f t="shared" si="1"/>
        <v>70123.892011720454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3223.685618336091</v>
      </c>
      <c r="D24" s="676">
        <f>+landbouw!C8</f>
        <v>62.357142857142847</v>
      </c>
      <c r="E24" s="676">
        <f>+landbouw!D8</f>
        <v>229.11024560364862</v>
      </c>
      <c r="F24" s="676">
        <f>+landbouw!E8</f>
        <v>30.36927846494299</v>
      </c>
      <c r="G24" s="676">
        <f>+landbouw!F8</f>
        <v>10519.95601992991</v>
      </c>
      <c r="H24" s="676">
        <f>+landbouw!G8</f>
        <v>0</v>
      </c>
      <c r="I24" s="676">
        <f>+landbouw!H8</f>
        <v>0</v>
      </c>
      <c r="J24" s="676">
        <f>+landbouw!I8</f>
        <v>0</v>
      </c>
      <c r="K24" s="676">
        <f>+landbouw!J8</f>
        <v>398.78559099201004</v>
      </c>
      <c r="L24" s="676">
        <f>+landbouw!K8</f>
        <v>0</v>
      </c>
      <c r="M24" s="676">
        <f>+landbouw!L8</f>
        <v>0</v>
      </c>
      <c r="N24" s="676">
        <f>+landbouw!M8</f>
        <v>0</v>
      </c>
      <c r="O24" s="676">
        <f>+landbouw!N8</f>
        <v>0</v>
      </c>
      <c r="P24" s="676">
        <f>+landbouw!O8</f>
        <v>0</v>
      </c>
      <c r="Q24" s="677">
        <f>+landbouw!P8</f>
        <v>0</v>
      </c>
      <c r="R24" s="679">
        <f>SUM(C24:Q24)</f>
        <v>14464.263896183747</v>
      </c>
      <c r="S24" s="68"/>
    </row>
    <row r="25" spans="1:19" s="445" customFormat="1" ht="15" thickBot="1">
      <c r="A25" s="813" t="s">
        <v>879</v>
      </c>
      <c r="B25" s="979"/>
      <c r="C25" s="980">
        <f>IF(Onbekend_ele_kWh="---",0,Onbekend_ele_kWh)/1000+IF(REST_rest_ele_kWh="---",0,REST_rest_ele_kWh)/1000</f>
        <v>497.17043823805801</v>
      </c>
      <c r="D25" s="980"/>
      <c r="E25" s="980">
        <f>IF(onbekend_gas_kWh="---",0,onbekend_gas_kWh)/1000+IF(REST_rest_gas_kWh="---",0,REST_rest_gas_kWh)/1000</f>
        <v>616.10747858492709</v>
      </c>
      <c r="F25" s="980"/>
      <c r="G25" s="980"/>
      <c r="H25" s="980"/>
      <c r="I25" s="980"/>
      <c r="J25" s="980"/>
      <c r="K25" s="980"/>
      <c r="L25" s="980"/>
      <c r="M25" s="980"/>
      <c r="N25" s="980"/>
      <c r="O25" s="980"/>
      <c r="P25" s="980"/>
      <c r="Q25" s="981"/>
      <c r="R25" s="679">
        <f>SUM(C25:Q25)</f>
        <v>1113.2779168229852</v>
      </c>
      <c r="S25" s="68"/>
    </row>
    <row r="26" spans="1:19" s="445" customFormat="1" ht="15.75" thickBot="1">
      <c r="A26" s="682" t="s">
        <v>880</v>
      </c>
      <c r="B26" s="799"/>
      <c r="C26" s="794">
        <f>SUM(C24:C25)</f>
        <v>3720.8560565741491</v>
      </c>
      <c r="D26" s="794">
        <f t="shared" ref="D26:R26" si="2">SUM(D24:D25)</f>
        <v>62.357142857142847</v>
      </c>
      <c r="E26" s="794">
        <f t="shared" si="2"/>
        <v>845.21772418857574</v>
      </c>
      <c r="F26" s="794">
        <f t="shared" si="2"/>
        <v>30.36927846494299</v>
      </c>
      <c r="G26" s="794">
        <f t="shared" si="2"/>
        <v>10519.95601992991</v>
      </c>
      <c r="H26" s="794">
        <f t="shared" si="2"/>
        <v>0</v>
      </c>
      <c r="I26" s="794">
        <f t="shared" si="2"/>
        <v>0</v>
      </c>
      <c r="J26" s="794">
        <f t="shared" si="2"/>
        <v>0</v>
      </c>
      <c r="K26" s="794">
        <f t="shared" si="2"/>
        <v>398.78559099201004</v>
      </c>
      <c r="L26" s="794">
        <f t="shared" si="2"/>
        <v>0</v>
      </c>
      <c r="M26" s="794">
        <f t="shared" si="2"/>
        <v>0</v>
      </c>
      <c r="N26" s="794">
        <f t="shared" si="2"/>
        <v>0</v>
      </c>
      <c r="O26" s="794">
        <f t="shared" si="2"/>
        <v>0</v>
      </c>
      <c r="P26" s="794">
        <f t="shared" si="2"/>
        <v>0</v>
      </c>
      <c r="Q26" s="794">
        <f t="shared" si="2"/>
        <v>0</v>
      </c>
      <c r="R26" s="794">
        <f t="shared" si="2"/>
        <v>15577.541813006732</v>
      </c>
      <c r="S26" s="68"/>
    </row>
    <row r="27" spans="1:19" s="445" customFormat="1" ht="17.25" thickTop="1" thickBot="1">
      <c r="A27" s="683" t="s">
        <v>115</v>
      </c>
      <c r="B27" s="786"/>
      <c r="C27" s="684">
        <f ca="1">C22+C16+C26</f>
        <v>34096.053409267959</v>
      </c>
      <c r="D27" s="684">
        <f t="shared" ref="D27:R27" ca="1" si="3">D22+D16+D26</f>
        <v>62.357142857142847</v>
      </c>
      <c r="E27" s="684">
        <f t="shared" ca="1" si="3"/>
        <v>40886.439927952684</v>
      </c>
      <c r="F27" s="684">
        <f t="shared" si="3"/>
        <v>1199.125039354263</v>
      </c>
      <c r="G27" s="684">
        <f t="shared" ca="1" si="3"/>
        <v>37345.360114182855</v>
      </c>
      <c r="H27" s="684">
        <f t="shared" si="3"/>
        <v>57773.562891591937</v>
      </c>
      <c r="I27" s="684">
        <f t="shared" si="3"/>
        <v>9110.1760542261327</v>
      </c>
      <c r="J27" s="684">
        <f t="shared" si="3"/>
        <v>0</v>
      </c>
      <c r="K27" s="684">
        <f t="shared" si="3"/>
        <v>866.37811321075219</v>
      </c>
      <c r="L27" s="684">
        <f t="shared" si="3"/>
        <v>0</v>
      </c>
      <c r="M27" s="684">
        <f t="shared" ca="1" si="3"/>
        <v>0</v>
      </c>
      <c r="N27" s="684">
        <f t="shared" si="3"/>
        <v>2987.7451959686177</v>
      </c>
      <c r="O27" s="684">
        <f t="shared" ca="1" si="3"/>
        <v>4997.0387941810968</v>
      </c>
      <c r="P27" s="684">
        <f t="shared" si="3"/>
        <v>43.773333333333333</v>
      </c>
      <c r="Q27" s="684">
        <f t="shared" si="3"/>
        <v>286</v>
      </c>
      <c r="R27" s="684">
        <f t="shared" ca="1" si="3"/>
        <v>189654.01001612676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1505.0505669865843</v>
      </c>
      <c r="D40" s="676">
        <f ca="1">tertiair!C20</f>
        <v>0</v>
      </c>
      <c r="E40" s="676">
        <f ca="1">tertiair!D20</f>
        <v>808.25973185109024</v>
      </c>
      <c r="F40" s="676">
        <f>tertiair!E20</f>
        <v>18.285979458202192</v>
      </c>
      <c r="G40" s="676">
        <f ca="1">tertiair!F20</f>
        <v>367.76974059860919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2699.3660188944859</v>
      </c>
    </row>
    <row r="41" spans="1:18">
      <c r="A41" s="804" t="s">
        <v>220</v>
      </c>
      <c r="B41" s="811"/>
      <c r="C41" s="676">
        <f ca="1">huishoudens!B12</f>
        <v>2888.6298059447045</v>
      </c>
      <c r="D41" s="676">
        <f ca="1">huishoudens!C12</f>
        <v>0</v>
      </c>
      <c r="E41" s="676">
        <f>huishoudens!D12</f>
        <v>3799.6518037324213</v>
      </c>
      <c r="F41" s="676">
        <f>huishoudens!E12</f>
        <v>173.34085150704379</v>
      </c>
      <c r="G41" s="676">
        <f>huishoudens!F12</f>
        <v>6215.8768009412888</v>
      </c>
      <c r="H41" s="676">
        <f>huishoudens!G12</f>
        <v>0</v>
      </c>
      <c r="I41" s="676">
        <f>huishoudens!H12</f>
        <v>0</v>
      </c>
      <c r="J41" s="676">
        <f>huishoudens!I12</f>
        <v>0</v>
      </c>
      <c r="K41" s="676">
        <f>huishoudens!J12</f>
        <v>149.53506069091094</v>
      </c>
      <c r="L41" s="676">
        <f>huishoudens!K12</f>
        <v>0</v>
      </c>
      <c r="M41" s="676">
        <f>huishoudens!L12</f>
        <v>0</v>
      </c>
      <c r="N41" s="676">
        <f>huishoudens!M12</f>
        <v>0</v>
      </c>
      <c r="O41" s="676">
        <f>huishoudens!N12</f>
        <v>0</v>
      </c>
      <c r="P41" s="676">
        <f>huishoudens!O12</f>
        <v>0</v>
      </c>
      <c r="Q41" s="751">
        <f>huishoudens!P12</f>
        <v>0</v>
      </c>
      <c r="R41" s="832">
        <f t="shared" ca="1" si="4"/>
        <v>13227.034322816369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1968.6044851941347</v>
      </c>
      <c r="D43" s="676">
        <f ca="1">industrie!C22</f>
        <v>0</v>
      </c>
      <c r="E43" s="676">
        <f>industrie!D22</f>
        <v>3479.6505688356042</v>
      </c>
      <c r="F43" s="676">
        <f>industrie!E22</f>
        <v>18.778491612772175</v>
      </c>
      <c r="G43" s="676">
        <f>industrie!F22</f>
        <v>578.73635162563698</v>
      </c>
      <c r="H43" s="676">
        <f>industrie!G22</f>
        <v>0</v>
      </c>
      <c r="I43" s="676">
        <f>industrie!H22</f>
        <v>0</v>
      </c>
      <c r="J43" s="676">
        <f>industrie!I22</f>
        <v>0</v>
      </c>
      <c r="K43" s="676">
        <f>industrie!J22</f>
        <v>15.992692174523766</v>
      </c>
      <c r="L43" s="676">
        <f>industrie!K22</f>
        <v>0</v>
      </c>
      <c r="M43" s="676">
        <f>industrie!L22</f>
        <v>0</v>
      </c>
      <c r="N43" s="676">
        <f>industrie!M22</f>
        <v>0</v>
      </c>
      <c r="O43" s="676">
        <f>industrie!N22</f>
        <v>0</v>
      </c>
      <c r="P43" s="676">
        <f>industrie!O22</f>
        <v>0</v>
      </c>
      <c r="Q43" s="751">
        <f>industrie!P22</f>
        <v>0</v>
      </c>
      <c r="R43" s="831">
        <f t="shared" ca="1" si="4"/>
        <v>6061.7625894426719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6362.2848581254239</v>
      </c>
      <c r="D46" s="709">
        <f t="shared" ref="D46:Q46" ca="1" si="5">SUM(D39:D45)</f>
        <v>0</v>
      </c>
      <c r="E46" s="709">
        <f t="shared" ca="1" si="5"/>
        <v>8087.5621044191157</v>
      </c>
      <c r="F46" s="709">
        <f t="shared" si="5"/>
        <v>210.40532257801814</v>
      </c>
      <c r="G46" s="709">
        <f t="shared" ca="1" si="5"/>
        <v>7162.3828931655353</v>
      </c>
      <c r="H46" s="709">
        <f t="shared" si="5"/>
        <v>0</v>
      </c>
      <c r="I46" s="709">
        <f t="shared" si="5"/>
        <v>0</v>
      </c>
      <c r="J46" s="709">
        <f t="shared" si="5"/>
        <v>0</v>
      </c>
      <c r="K46" s="709">
        <f t="shared" si="5"/>
        <v>165.52775286543471</v>
      </c>
      <c r="L46" s="709">
        <f t="shared" si="5"/>
        <v>0</v>
      </c>
      <c r="M46" s="709">
        <f t="shared" ca="1" si="5"/>
        <v>0</v>
      </c>
      <c r="N46" s="709">
        <f t="shared" si="5"/>
        <v>0</v>
      </c>
      <c r="O46" s="709">
        <f t="shared" ca="1" si="5"/>
        <v>0</v>
      </c>
      <c r="P46" s="709">
        <f t="shared" si="5"/>
        <v>0</v>
      </c>
      <c r="Q46" s="709">
        <f t="shared" si="5"/>
        <v>0</v>
      </c>
      <c r="R46" s="709">
        <f ca="1">SUM(R39:R45)</f>
        <v>21988.162931153525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0.78797810830534676</v>
      </c>
      <c r="D49" s="676">
        <f ca="1">transport!C58</f>
        <v>0</v>
      </c>
      <c r="E49" s="676">
        <f>transport!D58</f>
        <v>0</v>
      </c>
      <c r="F49" s="676">
        <f>transport!E58</f>
        <v>0</v>
      </c>
      <c r="G49" s="676">
        <f>transport!F58</f>
        <v>0</v>
      </c>
      <c r="H49" s="676">
        <f>transport!G58</f>
        <v>200.29636019853029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201.08433830683563</v>
      </c>
    </row>
    <row r="50" spans="1:18">
      <c r="A50" s="807" t="s">
        <v>302</v>
      </c>
      <c r="B50" s="817"/>
      <c r="C50" s="986">
        <f ca="1">transport!B18</f>
        <v>0.62863233234780469</v>
      </c>
      <c r="D50" s="986">
        <f>transport!C18</f>
        <v>0</v>
      </c>
      <c r="E50" s="986">
        <f>transport!D18</f>
        <v>0.76478074123440776</v>
      </c>
      <c r="F50" s="986">
        <f>transport!E18</f>
        <v>54.90223514385751</v>
      </c>
      <c r="G50" s="986">
        <f>transport!F18</f>
        <v>0</v>
      </c>
      <c r="H50" s="986">
        <f>transport!G18</f>
        <v>15225.244931856518</v>
      </c>
      <c r="I50" s="986">
        <f>transport!H18</f>
        <v>2268.4338375023071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17549.974417576264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1.4166104406531514</v>
      </c>
      <c r="D52" s="709">
        <f t="shared" ref="D52:Q52" ca="1" si="6">SUM(D48:D51)</f>
        <v>0</v>
      </c>
      <c r="E52" s="709">
        <f t="shared" si="6"/>
        <v>0.76478074123440776</v>
      </c>
      <c r="F52" s="709">
        <f t="shared" si="6"/>
        <v>54.90223514385751</v>
      </c>
      <c r="G52" s="709">
        <f t="shared" si="6"/>
        <v>0</v>
      </c>
      <c r="H52" s="709">
        <f t="shared" si="6"/>
        <v>15425.541292055048</v>
      </c>
      <c r="I52" s="709">
        <f t="shared" si="6"/>
        <v>2268.4338375023071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17751.058755883099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675.37249767963715</v>
      </c>
      <c r="D54" s="986">
        <f ca="1">+landbouw!C12</f>
        <v>0</v>
      </c>
      <c r="E54" s="986">
        <f>+landbouw!D12</f>
        <v>46.280269611937022</v>
      </c>
      <c r="F54" s="986">
        <f>+landbouw!E12</f>
        <v>6.8938262115420592</v>
      </c>
      <c r="G54" s="986">
        <f>+landbouw!F12</f>
        <v>2808.8282573212864</v>
      </c>
      <c r="H54" s="986">
        <f>+landbouw!G12</f>
        <v>0</v>
      </c>
      <c r="I54" s="986">
        <f>+landbouw!H12</f>
        <v>0</v>
      </c>
      <c r="J54" s="986">
        <f>+landbouw!I12</f>
        <v>0</v>
      </c>
      <c r="K54" s="986">
        <f>+landbouw!J12</f>
        <v>141.17009921117156</v>
      </c>
      <c r="L54" s="986">
        <f>+landbouw!K12</f>
        <v>0</v>
      </c>
      <c r="M54" s="986">
        <f>+landbouw!L12</f>
        <v>0</v>
      </c>
      <c r="N54" s="986">
        <f>+landbouw!M12</f>
        <v>0</v>
      </c>
      <c r="O54" s="986">
        <f>+landbouw!N12</f>
        <v>0</v>
      </c>
      <c r="P54" s="986">
        <f>+landbouw!O12</f>
        <v>0</v>
      </c>
      <c r="Q54" s="987">
        <f>+landbouw!P12</f>
        <v>0</v>
      </c>
      <c r="R54" s="708">
        <f ca="1">SUM(C54:Q54)</f>
        <v>3678.5449500355739</v>
      </c>
    </row>
    <row r="55" spans="1:18" ht="15" thickBot="1">
      <c r="A55" s="807" t="s">
        <v>879</v>
      </c>
      <c r="B55" s="817"/>
      <c r="C55" s="986">
        <f ca="1">C25*'EF ele_warmte'!B12</f>
        <v>104.15880467234513</v>
      </c>
      <c r="D55" s="986"/>
      <c r="E55" s="986">
        <f>E25*EF_CO2_aardgas</f>
        <v>124.45371067415527</v>
      </c>
      <c r="F55" s="986"/>
      <c r="G55" s="986"/>
      <c r="H55" s="986"/>
      <c r="I55" s="986"/>
      <c r="J55" s="986"/>
      <c r="K55" s="986"/>
      <c r="L55" s="986"/>
      <c r="M55" s="986"/>
      <c r="N55" s="986"/>
      <c r="O55" s="986"/>
      <c r="P55" s="986"/>
      <c r="Q55" s="987"/>
      <c r="R55" s="708">
        <f ca="1">SUM(C55:Q55)</f>
        <v>228.6125153465004</v>
      </c>
    </row>
    <row r="56" spans="1:18" ht="15.75" thickBot="1">
      <c r="A56" s="805" t="s">
        <v>880</v>
      </c>
      <c r="B56" s="818"/>
      <c r="C56" s="709">
        <f ca="1">SUM(C54:C55)</f>
        <v>779.53130235198228</v>
      </c>
      <c r="D56" s="709">
        <f t="shared" ref="D56:Q56" ca="1" si="7">SUM(D54:D55)</f>
        <v>0</v>
      </c>
      <c r="E56" s="709">
        <f t="shared" si="7"/>
        <v>170.7339802860923</v>
      </c>
      <c r="F56" s="709">
        <f t="shared" si="7"/>
        <v>6.8938262115420592</v>
      </c>
      <c r="G56" s="709">
        <f t="shared" si="7"/>
        <v>2808.8282573212864</v>
      </c>
      <c r="H56" s="709">
        <f t="shared" si="7"/>
        <v>0</v>
      </c>
      <c r="I56" s="709">
        <f t="shared" si="7"/>
        <v>0</v>
      </c>
      <c r="J56" s="709">
        <f t="shared" si="7"/>
        <v>0</v>
      </c>
      <c r="K56" s="709">
        <f t="shared" si="7"/>
        <v>141.17009921117156</v>
      </c>
      <c r="L56" s="709">
        <f t="shared" si="7"/>
        <v>0</v>
      </c>
      <c r="M56" s="709">
        <f t="shared" si="7"/>
        <v>0</v>
      </c>
      <c r="N56" s="709">
        <f t="shared" si="7"/>
        <v>0</v>
      </c>
      <c r="O56" s="709">
        <f t="shared" si="7"/>
        <v>0</v>
      </c>
      <c r="P56" s="709">
        <f t="shared" si="7"/>
        <v>0</v>
      </c>
      <c r="Q56" s="710">
        <f t="shared" si="7"/>
        <v>0</v>
      </c>
      <c r="R56" s="711">
        <f ca="1">SUM(R54:R55)</f>
        <v>3907.1574653820744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7143.232770918059</v>
      </c>
      <c r="D61" s="717">
        <f t="shared" ref="D61:Q61" ca="1" si="8">D46+D52+D56</f>
        <v>0</v>
      </c>
      <c r="E61" s="717">
        <f t="shared" ca="1" si="8"/>
        <v>8259.0608654464413</v>
      </c>
      <c r="F61" s="717">
        <f t="shared" si="8"/>
        <v>272.20138393341767</v>
      </c>
      <c r="G61" s="717">
        <f t="shared" ca="1" si="8"/>
        <v>9971.2111504868226</v>
      </c>
      <c r="H61" s="717">
        <f t="shared" si="8"/>
        <v>15425.541292055048</v>
      </c>
      <c r="I61" s="717">
        <f t="shared" si="8"/>
        <v>2268.4338375023071</v>
      </c>
      <c r="J61" s="717">
        <f t="shared" si="8"/>
        <v>0</v>
      </c>
      <c r="K61" s="717">
        <f t="shared" si="8"/>
        <v>306.6978520766063</v>
      </c>
      <c r="L61" s="717">
        <f t="shared" si="8"/>
        <v>0</v>
      </c>
      <c r="M61" s="717">
        <f t="shared" ca="1" si="8"/>
        <v>0</v>
      </c>
      <c r="N61" s="717">
        <f t="shared" si="8"/>
        <v>0</v>
      </c>
      <c r="O61" s="717">
        <f t="shared" ca="1" si="8"/>
        <v>0</v>
      </c>
      <c r="P61" s="717">
        <f t="shared" si="8"/>
        <v>0</v>
      </c>
      <c r="Q61" s="717">
        <f t="shared" si="8"/>
        <v>0</v>
      </c>
      <c r="R61" s="717">
        <f ca="1">R46+R52+R56</f>
        <v>43646.379152418696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0.20950321391086255</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1730.0831788695093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43.649999999999991</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1773.7331788695094</v>
      </c>
      <c r="C78" s="732">
        <f>SUM(C72:C77)</f>
        <v>0</v>
      </c>
      <c r="D78" s="733">
        <f t="shared" ref="D78:H78" si="10">SUM(D76:D77)</f>
        <v>0</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62.357142857142847</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62.357142857142847</v>
      </c>
      <c r="C90" s="732">
        <f>SUM(C87:C89)</f>
        <v>0</v>
      </c>
      <c r="D90" s="732">
        <f t="shared" ref="D90:H90" si="12">SUM(D87:D89)</f>
        <v>0</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13787.997577801989</v>
      </c>
      <c r="C4" s="449">
        <f>huishoudens!C8</f>
        <v>0</v>
      </c>
      <c r="D4" s="449">
        <f>huishoudens!D8</f>
        <v>18810.157444219905</v>
      </c>
      <c r="E4" s="449">
        <f>huishoudens!E8</f>
        <v>763.61608593411358</v>
      </c>
      <c r="F4" s="449">
        <f>huishoudens!F8</f>
        <v>23280.437456708947</v>
      </c>
      <c r="G4" s="449">
        <f>huishoudens!G8</f>
        <v>0</v>
      </c>
      <c r="H4" s="449">
        <f>huishoudens!H8</f>
        <v>0</v>
      </c>
      <c r="I4" s="449">
        <f>huishoudens!I8</f>
        <v>0</v>
      </c>
      <c r="J4" s="449">
        <f>huishoudens!J8</f>
        <v>422.41542568053939</v>
      </c>
      <c r="K4" s="449">
        <f>huishoudens!K8</f>
        <v>0</v>
      </c>
      <c r="L4" s="449">
        <f>huishoudens!L8</f>
        <v>0</v>
      </c>
      <c r="M4" s="449">
        <f>huishoudens!M8</f>
        <v>0</v>
      </c>
      <c r="N4" s="449">
        <f>huishoudens!N8</f>
        <v>3848.8357712921784</v>
      </c>
      <c r="O4" s="449">
        <f>huishoudens!O8</f>
        <v>40.646666666666668</v>
      </c>
      <c r="P4" s="450">
        <f>huishoudens!P8</f>
        <v>286</v>
      </c>
      <c r="Q4" s="451">
        <f>SUM(B4:P4)</f>
        <v>61240.106428304338</v>
      </c>
    </row>
    <row r="5" spans="1:17">
      <c r="A5" s="448" t="s">
        <v>155</v>
      </c>
      <c r="B5" s="449">
        <f ca="1">tertiair!B16</f>
        <v>6640.6210456599738</v>
      </c>
      <c r="C5" s="449">
        <f ca="1">tertiair!C16</f>
        <v>0</v>
      </c>
      <c r="D5" s="449">
        <f ca="1">tertiair!D16</f>
        <v>4001.2858012430206</v>
      </c>
      <c r="E5" s="449">
        <f>tertiair!E16</f>
        <v>80.554975586793802</v>
      </c>
      <c r="F5" s="449">
        <f ca="1">tertiair!F16</f>
        <v>1377.4147587962891</v>
      </c>
      <c r="G5" s="449">
        <f>tertiair!G16</f>
        <v>0</v>
      </c>
      <c r="H5" s="449">
        <f>tertiair!H16</f>
        <v>0</v>
      </c>
      <c r="I5" s="449">
        <f>tertiair!I16</f>
        <v>0</v>
      </c>
      <c r="J5" s="449">
        <f>tertiair!J16</f>
        <v>0</v>
      </c>
      <c r="K5" s="449">
        <f>tertiair!K16</f>
        <v>0</v>
      </c>
      <c r="L5" s="449">
        <f ca="1">tertiair!L16</f>
        <v>0</v>
      </c>
      <c r="M5" s="449">
        <f>tertiair!M16</f>
        <v>0</v>
      </c>
      <c r="N5" s="449">
        <f ca="1">tertiair!N16</f>
        <v>836.98661042462697</v>
      </c>
      <c r="O5" s="449">
        <f>tertiair!O16</f>
        <v>3.1266666666666669</v>
      </c>
      <c r="P5" s="450">
        <f>tertiair!P16</f>
        <v>0</v>
      </c>
      <c r="Q5" s="448">
        <f t="shared" ref="Q5:Q14" ca="1" si="0">SUM(B5:P5)</f>
        <v>12939.989858377372</v>
      </c>
    </row>
    <row r="6" spans="1:17">
      <c r="A6" s="448" t="s">
        <v>193</v>
      </c>
      <c r="B6" s="449">
        <f>'openbare verlichting'!B8</f>
        <v>543.28099999999995</v>
      </c>
      <c r="C6" s="449"/>
      <c r="D6" s="449"/>
      <c r="E6" s="449"/>
      <c r="F6" s="449"/>
      <c r="G6" s="449"/>
      <c r="H6" s="449"/>
      <c r="I6" s="449"/>
      <c r="J6" s="449"/>
      <c r="K6" s="449"/>
      <c r="L6" s="449"/>
      <c r="M6" s="449"/>
      <c r="N6" s="449"/>
      <c r="O6" s="449"/>
      <c r="P6" s="450"/>
      <c r="Q6" s="448">
        <f t="shared" si="0"/>
        <v>543.28099999999995</v>
      </c>
    </row>
    <row r="7" spans="1:17">
      <c r="A7" s="448" t="s">
        <v>111</v>
      </c>
      <c r="B7" s="449">
        <f>landbouw!B8</f>
        <v>3223.685618336091</v>
      </c>
      <c r="C7" s="449">
        <f>landbouw!C8</f>
        <v>62.357142857142847</v>
      </c>
      <c r="D7" s="449">
        <f>landbouw!D8</f>
        <v>229.11024560364862</v>
      </c>
      <c r="E7" s="449">
        <f>landbouw!E8</f>
        <v>30.36927846494299</v>
      </c>
      <c r="F7" s="449">
        <f>landbouw!F8</f>
        <v>10519.95601992991</v>
      </c>
      <c r="G7" s="449">
        <f>landbouw!G8</f>
        <v>0</v>
      </c>
      <c r="H7" s="449">
        <f>landbouw!H8</f>
        <v>0</v>
      </c>
      <c r="I7" s="449">
        <f>landbouw!I8</f>
        <v>0</v>
      </c>
      <c r="J7" s="449">
        <f>landbouw!J8</f>
        <v>398.78559099201004</v>
      </c>
      <c r="K7" s="449">
        <f>landbouw!K8</f>
        <v>0</v>
      </c>
      <c r="L7" s="449">
        <f>landbouw!L8</f>
        <v>0</v>
      </c>
      <c r="M7" s="449">
        <f>landbouw!M8</f>
        <v>0</v>
      </c>
      <c r="N7" s="449">
        <f>landbouw!N8</f>
        <v>0</v>
      </c>
      <c r="O7" s="449">
        <f>landbouw!O8</f>
        <v>0</v>
      </c>
      <c r="P7" s="450">
        <f>landbouw!P8</f>
        <v>0</v>
      </c>
      <c r="Q7" s="448">
        <f t="shared" si="0"/>
        <v>14464.263896183747</v>
      </c>
    </row>
    <row r="8" spans="1:17">
      <c r="A8" s="448" t="s">
        <v>671</v>
      </c>
      <c r="B8" s="449">
        <f>industrie!B18</f>
        <v>9396.5359692845486</v>
      </c>
      <c r="C8" s="449">
        <f>industrie!C18</f>
        <v>0</v>
      </c>
      <c r="D8" s="449">
        <f>industrie!D18</f>
        <v>17225.992915027742</v>
      </c>
      <c r="E8" s="449">
        <f>industrie!E18</f>
        <v>82.724632655384028</v>
      </c>
      <c r="F8" s="449">
        <f>industrie!F18</f>
        <v>2167.551878747704</v>
      </c>
      <c r="G8" s="449">
        <f>industrie!G18</f>
        <v>0</v>
      </c>
      <c r="H8" s="449">
        <f>industrie!H18</f>
        <v>0</v>
      </c>
      <c r="I8" s="449">
        <f>industrie!I18</f>
        <v>0</v>
      </c>
      <c r="J8" s="449">
        <f>industrie!J18</f>
        <v>45.177096538202733</v>
      </c>
      <c r="K8" s="449">
        <f>industrie!K18</f>
        <v>0</v>
      </c>
      <c r="L8" s="449">
        <f>industrie!L18</f>
        <v>0</v>
      </c>
      <c r="M8" s="449">
        <f>industrie!M18</f>
        <v>0</v>
      </c>
      <c r="N8" s="449">
        <f>industrie!N18</f>
        <v>311.21641246429158</v>
      </c>
      <c r="O8" s="449">
        <f>industrie!O18</f>
        <v>0</v>
      </c>
      <c r="P8" s="450">
        <f>industrie!P18</f>
        <v>0</v>
      </c>
      <c r="Q8" s="448">
        <f t="shared" si="0"/>
        <v>29229.198904717872</v>
      </c>
    </row>
    <row r="9" spans="1:17" s="454" customFormat="1">
      <c r="A9" s="452" t="s">
        <v>568</v>
      </c>
      <c r="B9" s="453">
        <f>transport!B14</f>
        <v>3.0005856264108166</v>
      </c>
      <c r="C9" s="453">
        <f>transport!C14</f>
        <v>0</v>
      </c>
      <c r="D9" s="453">
        <f>transport!D14</f>
        <v>3.7860432734376617</v>
      </c>
      <c r="E9" s="453">
        <f>transport!E14</f>
        <v>241.86006671302866</v>
      </c>
      <c r="F9" s="453">
        <f>transport!F14</f>
        <v>0</v>
      </c>
      <c r="G9" s="453">
        <f>transport!G14</f>
        <v>57023.389257889576</v>
      </c>
      <c r="H9" s="453">
        <f>transport!H14</f>
        <v>9110.1760542261327</v>
      </c>
      <c r="I9" s="453">
        <f>transport!I14</f>
        <v>0</v>
      </c>
      <c r="J9" s="453">
        <f>transport!J14</f>
        <v>0</v>
      </c>
      <c r="K9" s="453">
        <f>transport!K14</f>
        <v>0</v>
      </c>
      <c r="L9" s="453">
        <f>transport!L14</f>
        <v>0</v>
      </c>
      <c r="M9" s="453">
        <f>transport!M14</f>
        <v>2954.588320338743</v>
      </c>
      <c r="N9" s="453">
        <f>transport!N14</f>
        <v>0</v>
      </c>
      <c r="O9" s="453">
        <f>transport!O14</f>
        <v>0</v>
      </c>
      <c r="P9" s="453">
        <f>transport!P14</f>
        <v>0</v>
      </c>
      <c r="Q9" s="452">
        <f>SUM(B9:P9)</f>
        <v>69336.800328067329</v>
      </c>
    </row>
    <row r="10" spans="1:17">
      <c r="A10" s="448" t="s">
        <v>558</v>
      </c>
      <c r="B10" s="449">
        <f>transport!B54</f>
        <v>3.7611743208894559</v>
      </c>
      <c r="C10" s="449">
        <f>transport!C54</f>
        <v>0</v>
      </c>
      <c r="D10" s="449">
        <f>transport!D54</f>
        <v>0</v>
      </c>
      <c r="E10" s="449">
        <f>transport!E54</f>
        <v>0</v>
      </c>
      <c r="F10" s="449">
        <f>transport!F54</f>
        <v>0</v>
      </c>
      <c r="G10" s="449">
        <f>transport!G54</f>
        <v>750.17363370236058</v>
      </c>
      <c r="H10" s="449">
        <f>transport!H54</f>
        <v>0</v>
      </c>
      <c r="I10" s="449">
        <f>transport!I54</f>
        <v>0</v>
      </c>
      <c r="J10" s="449">
        <f>transport!J54</f>
        <v>0</v>
      </c>
      <c r="K10" s="449">
        <f>transport!K54</f>
        <v>0</v>
      </c>
      <c r="L10" s="449">
        <f>transport!L54</f>
        <v>0</v>
      </c>
      <c r="M10" s="449">
        <f>transport!M54</f>
        <v>33.15687562987484</v>
      </c>
      <c r="N10" s="449">
        <f>transport!N54</f>
        <v>0</v>
      </c>
      <c r="O10" s="449">
        <f>transport!O54</f>
        <v>0</v>
      </c>
      <c r="P10" s="450">
        <f>transport!P54</f>
        <v>0</v>
      </c>
      <c r="Q10" s="448">
        <f t="shared" si="0"/>
        <v>787.09168365312496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497.17043823805801</v>
      </c>
      <c r="C14" s="456"/>
      <c r="D14" s="456">
        <f>'SEAP template'!E25</f>
        <v>616.10747858492709</v>
      </c>
      <c r="E14" s="456"/>
      <c r="F14" s="456"/>
      <c r="G14" s="456"/>
      <c r="H14" s="456"/>
      <c r="I14" s="456"/>
      <c r="J14" s="456"/>
      <c r="K14" s="456"/>
      <c r="L14" s="456"/>
      <c r="M14" s="456"/>
      <c r="N14" s="456"/>
      <c r="O14" s="456"/>
      <c r="P14" s="457"/>
      <c r="Q14" s="448">
        <f t="shared" si="0"/>
        <v>1113.2779168229852</v>
      </c>
    </row>
    <row r="15" spans="1:17" s="461" customFormat="1">
      <c r="A15" s="458" t="s">
        <v>562</v>
      </c>
      <c r="B15" s="459">
        <f ca="1">SUM(B4:B14)</f>
        <v>34096.053409267959</v>
      </c>
      <c r="C15" s="459">
        <f t="shared" ref="C15:Q15" ca="1" si="1">SUM(C4:C14)</f>
        <v>62.357142857142847</v>
      </c>
      <c r="D15" s="459">
        <f t="shared" ca="1" si="1"/>
        <v>40886.439927952684</v>
      </c>
      <c r="E15" s="459">
        <f t="shared" si="1"/>
        <v>1199.125039354263</v>
      </c>
      <c r="F15" s="459">
        <f t="shared" ca="1" si="1"/>
        <v>37345.360114182855</v>
      </c>
      <c r="G15" s="459">
        <f t="shared" si="1"/>
        <v>57773.562891591937</v>
      </c>
      <c r="H15" s="459">
        <f t="shared" si="1"/>
        <v>9110.1760542261327</v>
      </c>
      <c r="I15" s="459">
        <f t="shared" si="1"/>
        <v>0</v>
      </c>
      <c r="J15" s="459">
        <f t="shared" si="1"/>
        <v>866.37811321075219</v>
      </c>
      <c r="K15" s="459">
        <f t="shared" si="1"/>
        <v>0</v>
      </c>
      <c r="L15" s="459">
        <f t="shared" ca="1" si="1"/>
        <v>0</v>
      </c>
      <c r="M15" s="459">
        <f t="shared" si="1"/>
        <v>2987.7451959686177</v>
      </c>
      <c r="N15" s="459">
        <f t="shared" ca="1" si="1"/>
        <v>4997.0387941810968</v>
      </c>
      <c r="O15" s="459">
        <f t="shared" si="1"/>
        <v>43.773333333333333</v>
      </c>
      <c r="P15" s="459">
        <f t="shared" si="1"/>
        <v>286</v>
      </c>
      <c r="Q15" s="459">
        <f t="shared" ca="1" si="1"/>
        <v>189654.01001612679</v>
      </c>
    </row>
    <row r="17" spans="1:17">
      <c r="A17" s="462" t="s">
        <v>563</v>
      </c>
      <c r="B17" s="766">
        <f ca="1">huishoudens!B10</f>
        <v>0.20950321391086252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2888.6298059447045</v>
      </c>
      <c r="C22" s="449">
        <f t="shared" ref="C22:C32" ca="1" si="3">C4*$C$17</f>
        <v>0</v>
      </c>
      <c r="D22" s="449">
        <f t="shared" ref="D22:D32" si="4">D4*$D$17</f>
        <v>3799.6518037324213</v>
      </c>
      <c r="E22" s="449">
        <f t="shared" ref="E22:E32" si="5">E4*$E$17</f>
        <v>173.34085150704379</v>
      </c>
      <c r="F22" s="449">
        <f t="shared" ref="F22:F32" si="6">F4*$F$17</f>
        <v>6215.8768009412888</v>
      </c>
      <c r="G22" s="449">
        <f t="shared" ref="G22:G32" si="7">G4*$G$17</f>
        <v>0</v>
      </c>
      <c r="H22" s="449">
        <f t="shared" ref="H22:H32" si="8">H4*$H$17</f>
        <v>0</v>
      </c>
      <c r="I22" s="449">
        <f t="shared" ref="I22:I32" si="9">I4*$I$17</f>
        <v>0</v>
      </c>
      <c r="J22" s="449">
        <f t="shared" ref="J22:J32" si="10">J4*$J$17</f>
        <v>149.53506069091094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13227.034322816369</v>
      </c>
    </row>
    <row r="23" spans="1:17">
      <c r="A23" s="448" t="s">
        <v>155</v>
      </c>
      <c r="B23" s="449">
        <f t="shared" ca="1" si="2"/>
        <v>1391.2314514298771</v>
      </c>
      <c r="C23" s="449">
        <f t="shared" ca="1" si="3"/>
        <v>0</v>
      </c>
      <c r="D23" s="449">
        <f t="shared" ca="1" si="4"/>
        <v>808.25973185109024</v>
      </c>
      <c r="E23" s="449">
        <f t="shared" si="5"/>
        <v>18.285979458202192</v>
      </c>
      <c r="F23" s="449">
        <f t="shared" ca="1" si="6"/>
        <v>367.76974059860919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2585.546903337779</v>
      </c>
    </row>
    <row r="24" spans="1:17">
      <c r="A24" s="448" t="s">
        <v>193</v>
      </c>
      <c r="B24" s="449">
        <f t="shared" ca="1" si="2"/>
        <v>113.81911555670729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113.81911555670729</v>
      </c>
    </row>
    <row r="25" spans="1:17">
      <c r="A25" s="448" t="s">
        <v>111</v>
      </c>
      <c r="B25" s="449">
        <f t="shared" ca="1" si="2"/>
        <v>675.37249767963715</v>
      </c>
      <c r="C25" s="449">
        <f t="shared" ca="1" si="3"/>
        <v>0</v>
      </c>
      <c r="D25" s="449">
        <f t="shared" si="4"/>
        <v>46.280269611937022</v>
      </c>
      <c r="E25" s="449">
        <f t="shared" si="5"/>
        <v>6.8938262115420592</v>
      </c>
      <c r="F25" s="449">
        <f t="shared" si="6"/>
        <v>2808.8282573212864</v>
      </c>
      <c r="G25" s="449">
        <f t="shared" si="7"/>
        <v>0</v>
      </c>
      <c r="H25" s="449">
        <f t="shared" si="8"/>
        <v>0</v>
      </c>
      <c r="I25" s="449">
        <f t="shared" si="9"/>
        <v>0</v>
      </c>
      <c r="J25" s="449">
        <f t="shared" si="10"/>
        <v>141.17009921117156</v>
      </c>
      <c r="K25" s="449">
        <f t="shared" si="11"/>
        <v>0</v>
      </c>
      <c r="L25" s="449">
        <f t="shared" si="12"/>
        <v>0</v>
      </c>
      <c r="M25" s="449">
        <f t="shared" si="13"/>
        <v>0</v>
      </c>
      <c r="N25" s="449">
        <f t="shared" si="14"/>
        <v>0</v>
      </c>
      <c r="O25" s="449">
        <f t="shared" si="15"/>
        <v>0</v>
      </c>
      <c r="P25" s="450">
        <f t="shared" si="16"/>
        <v>0</v>
      </c>
      <c r="Q25" s="448">
        <f t="shared" ca="1" si="17"/>
        <v>3678.5449500355739</v>
      </c>
    </row>
    <row r="26" spans="1:17">
      <c r="A26" s="448" t="s">
        <v>671</v>
      </c>
      <c r="B26" s="449">
        <f t="shared" ca="1" si="2"/>
        <v>1968.6044851941347</v>
      </c>
      <c r="C26" s="449">
        <f t="shared" ca="1" si="3"/>
        <v>0</v>
      </c>
      <c r="D26" s="449">
        <f t="shared" si="4"/>
        <v>3479.6505688356042</v>
      </c>
      <c r="E26" s="449">
        <f t="shared" si="5"/>
        <v>18.778491612772175</v>
      </c>
      <c r="F26" s="449">
        <f t="shared" si="6"/>
        <v>578.73635162563698</v>
      </c>
      <c r="G26" s="449">
        <f t="shared" si="7"/>
        <v>0</v>
      </c>
      <c r="H26" s="449">
        <f t="shared" si="8"/>
        <v>0</v>
      </c>
      <c r="I26" s="449">
        <f t="shared" si="9"/>
        <v>0</v>
      </c>
      <c r="J26" s="449">
        <f t="shared" si="10"/>
        <v>15.992692174523766</v>
      </c>
      <c r="K26" s="449">
        <f t="shared" si="11"/>
        <v>0</v>
      </c>
      <c r="L26" s="449">
        <f t="shared" si="12"/>
        <v>0</v>
      </c>
      <c r="M26" s="449">
        <f t="shared" si="13"/>
        <v>0</v>
      </c>
      <c r="N26" s="449">
        <f t="shared" si="14"/>
        <v>0</v>
      </c>
      <c r="O26" s="449">
        <f t="shared" si="15"/>
        <v>0</v>
      </c>
      <c r="P26" s="450">
        <f t="shared" si="16"/>
        <v>0</v>
      </c>
      <c r="Q26" s="448">
        <f t="shared" ca="1" si="17"/>
        <v>6061.7625894426719</v>
      </c>
    </row>
    <row r="27" spans="1:17" s="454" customFormat="1">
      <c r="A27" s="452" t="s">
        <v>568</v>
      </c>
      <c r="B27" s="760">
        <f t="shared" ca="1" si="2"/>
        <v>0.62863233234780469</v>
      </c>
      <c r="C27" s="453">
        <f t="shared" ca="1" si="3"/>
        <v>0</v>
      </c>
      <c r="D27" s="453">
        <f t="shared" si="4"/>
        <v>0.76478074123440776</v>
      </c>
      <c r="E27" s="453">
        <f t="shared" si="5"/>
        <v>54.90223514385751</v>
      </c>
      <c r="F27" s="453">
        <f t="shared" si="6"/>
        <v>0</v>
      </c>
      <c r="G27" s="453">
        <f t="shared" si="7"/>
        <v>15225.244931856518</v>
      </c>
      <c r="H27" s="453">
        <f t="shared" si="8"/>
        <v>2268.4338375023071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17549.974417576264</v>
      </c>
    </row>
    <row r="28" spans="1:17">
      <c r="A28" s="448" t="s">
        <v>558</v>
      </c>
      <c r="B28" s="449">
        <f t="shared" ca="1" si="2"/>
        <v>0.78797810830534676</v>
      </c>
      <c r="C28" s="449">
        <f t="shared" ca="1" si="3"/>
        <v>0</v>
      </c>
      <c r="D28" s="449">
        <f t="shared" si="4"/>
        <v>0</v>
      </c>
      <c r="E28" s="449">
        <f t="shared" si="5"/>
        <v>0</v>
      </c>
      <c r="F28" s="449">
        <f t="shared" si="6"/>
        <v>0</v>
      </c>
      <c r="G28" s="449">
        <f t="shared" si="7"/>
        <v>200.29636019853029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201.08433830683563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104.15880467234513</v>
      </c>
      <c r="C32" s="449">
        <f t="shared" ca="1" si="3"/>
        <v>0</v>
      </c>
      <c r="D32" s="449">
        <f t="shared" si="4"/>
        <v>124.45371067415527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228.6125153465004</v>
      </c>
    </row>
    <row r="33" spans="1:17" s="461" customFormat="1">
      <c r="A33" s="458" t="s">
        <v>562</v>
      </c>
      <c r="B33" s="459">
        <f ca="1">SUM(B22:B32)</f>
        <v>7143.232770918059</v>
      </c>
      <c r="C33" s="459">
        <f t="shared" ref="C33:Q33" ca="1" si="18">SUM(C22:C32)</f>
        <v>0</v>
      </c>
      <c r="D33" s="459">
        <f t="shared" ca="1" si="18"/>
        <v>8259.0608654464413</v>
      </c>
      <c r="E33" s="459">
        <f t="shared" si="18"/>
        <v>272.20138393341773</v>
      </c>
      <c r="F33" s="459">
        <f t="shared" ca="1" si="18"/>
        <v>9971.2111504868226</v>
      </c>
      <c r="G33" s="459">
        <f t="shared" si="18"/>
        <v>15425.541292055048</v>
      </c>
      <c r="H33" s="459">
        <f t="shared" si="18"/>
        <v>2268.4338375023071</v>
      </c>
      <c r="I33" s="459">
        <f t="shared" si="18"/>
        <v>0</v>
      </c>
      <c r="J33" s="459">
        <f t="shared" si="18"/>
        <v>306.6978520766063</v>
      </c>
      <c r="K33" s="459">
        <f t="shared" si="18"/>
        <v>0</v>
      </c>
      <c r="L33" s="459">
        <f t="shared" ca="1" si="18"/>
        <v>0</v>
      </c>
      <c r="M33" s="459">
        <f t="shared" si="18"/>
        <v>0</v>
      </c>
      <c r="N33" s="459">
        <f t="shared" ca="1" si="18"/>
        <v>0</v>
      </c>
      <c r="O33" s="459">
        <f t="shared" si="18"/>
        <v>0</v>
      </c>
      <c r="P33" s="459">
        <f t="shared" si="18"/>
        <v>0</v>
      </c>
      <c r="Q33" s="459">
        <f t="shared" ca="1" si="18"/>
        <v>43646.379152418704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1730.0831788695093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1773.7331788695094</v>
      </c>
      <c r="C10" s="1019">
        <f>SUM(C4:C9)</f>
        <v>0</v>
      </c>
      <c r="D10" s="1019">
        <f t="shared" ref="D10:H10" si="0">SUM(D8:D9)</f>
        <v>0</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0.20950321391086252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62.357142857142847</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62.357142857142847</v>
      </c>
      <c r="C20" s="1019">
        <f>SUM(C17:C19)</f>
        <v>0</v>
      </c>
      <c r="D20" s="1019">
        <f t="shared" ref="D20:H20" si="2">SUM(D17:D19)</f>
        <v>0</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0.20950321391086252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0.20950321391086252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0.20950321391086252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2550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2343</v>
      </c>
      <c r="C14" s="327"/>
      <c r="D14" s="327"/>
      <c r="E14" s="327"/>
      <c r="F14" s="327"/>
    </row>
    <row r="15" spans="1:6">
      <c r="A15" s="1295" t="s">
        <v>183</v>
      </c>
      <c r="B15" s="1296">
        <v>63</v>
      </c>
      <c r="C15" s="327"/>
      <c r="D15" s="327"/>
      <c r="E15" s="327"/>
      <c r="F15" s="327"/>
    </row>
    <row r="16" spans="1:6">
      <c r="A16" s="1295" t="s">
        <v>6</v>
      </c>
      <c r="B16" s="1296">
        <v>2667</v>
      </c>
      <c r="C16" s="327"/>
      <c r="D16" s="327"/>
      <c r="E16" s="327"/>
      <c r="F16" s="327"/>
    </row>
    <row r="17" spans="1:6">
      <c r="A17" s="1295" t="s">
        <v>7</v>
      </c>
      <c r="B17" s="1296">
        <v>1146</v>
      </c>
      <c r="C17" s="327"/>
      <c r="D17" s="327"/>
      <c r="E17" s="327"/>
      <c r="F17" s="327"/>
    </row>
    <row r="18" spans="1:6">
      <c r="A18" s="1295" t="s">
        <v>8</v>
      </c>
      <c r="B18" s="1296">
        <v>2486</v>
      </c>
      <c r="C18" s="327"/>
      <c r="D18" s="327"/>
      <c r="E18" s="327"/>
      <c r="F18" s="327"/>
    </row>
    <row r="19" spans="1:6">
      <c r="A19" s="1295" t="s">
        <v>9</v>
      </c>
      <c r="B19" s="1296">
        <v>2409</v>
      </c>
      <c r="C19" s="327"/>
      <c r="D19" s="327"/>
      <c r="E19" s="327"/>
      <c r="F19" s="327"/>
    </row>
    <row r="20" spans="1:6">
      <c r="A20" s="1295" t="s">
        <v>10</v>
      </c>
      <c r="B20" s="1296">
        <v>1263</v>
      </c>
      <c r="C20" s="327"/>
      <c r="D20" s="327"/>
      <c r="E20" s="327"/>
      <c r="F20" s="327"/>
    </row>
    <row r="21" spans="1:6">
      <c r="A21" s="1295" t="s">
        <v>11</v>
      </c>
      <c r="B21" s="1296">
        <v>10800</v>
      </c>
      <c r="C21" s="327"/>
      <c r="D21" s="327"/>
      <c r="E21" s="327"/>
      <c r="F21" s="327"/>
    </row>
    <row r="22" spans="1:6">
      <c r="A22" s="1295" t="s">
        <v>12</v>
      </c>
      <c r="B22" s="1296">
        <v>26215</v>
      </c>
      <c r="C22" s="327"/>
      <c r="D22" s="327"/>
      <c r="E22" s="327"/>
      <c r="F22" s="327"/>
    </row>
    <row r="23" spans="1:6">
      <c r="A23" s="1295" t="s">
        <v>13</v>
      </c>
      <c r="B23" s="1296">
        <v>712</v>
      </c>
      <c r="C23" s="327"/>
      <c r="D23" s="327"/>
      <c r="E23" s="327"/>
      <c r="F23" s="327"/>
    </row>
    <row r="24" spans="1:6">
      <c r="A24" s="1295" t="s">
        <v>14</v>
      </c>
      <c r="B24" s="1296">
        <v>30</v>
      </c>
      <c r="C24" s="327"/>
      <c r="D24" s="327"/>
      <c r="E24" s="327"/>
      <c r="F24" s="327"/>
    </row>
    <row r="25" spans="1:6">
      <c r="A25" s="1295" t="s">
        <v>15</v>
      </c>
      <c r="B25" s="1296">
        <v>3363</v>
      </c>
      <c r="C25" s="327"/>
      <c r="D25" s="327"/>
      <c r="E25" s="327"/>
      <c r="F25" s="327"/>
    </row>
    <row r="26" spans="1:6">
      <c r="A26" s="1295" t="s">
        <v>16</v>
      </c>
      <c r="B26" s="1296">
        <v>2</v>
      </c>
      <c r="C26" s="327"/>
      <c r="D26" s="327"/>
      <c r="E26" s="327"/>
      <c r="F26" s="327"/>
    </row>
    <row r="27" spans="1:6">
      <c r="A27" s="1295" t="s">
        <v>17</v>
      </c>
      <c r="B27" s="1296">
        <v>5</v>
      </c>
      <c r="C27" s="327"/>
      <c r="D27" s="327"/>
      <c r="E27" s="327"/>
      <c r="F27" s="327"/>
    </row>
    <row r="28" spans="1:6" s="44" customFormat="1">
      <c r="A28" s="1297" t="s">
        <v>18</v>
      </c>
      <c r="B28" s="1298">
        <v>83335</v>
      </c>
      <c r="C28" s="333"/>
      <c r="D28" s="333"/>
      <c r="E28" s="333"/>
      <c r="F28" s="333"/>
    </row>
    <row r="29" spans="1:6">
      <c r="A29" s="1297" t="s">
        <v>961</v>
      </c>
      <c r="B29" s="1298">
        <v>120</v>
      </c>
      <c r="C29" s="333"/>
      <c r="D29" s="333"/>
      <c r="E29" s="333"/>
      <c r="F29" s="333"/>
    </row>
    <row r="30" spans="1:6">
      <c r="A30" s="1290" t="s">
        <v>962</v>
      </c>
      <c r="B30" s="1299">
        <v>50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122809.865171179</v>
      </c>
      <c r="E38" s="1296">
        <v>0</v>
      </c>
      <c r="F38" s="1296">
        <v>0</v>
      </c>
    </row>
    <row r="39" spans="1:6">
      <c r="A39" s="1295" t="s">
        <v>29</v>
      </c>
      <c r="B39" s="1295" t="s">
        <v>30</v>
      </c>
      <c r="C39" s="1296">
        <v>1123</v>
      </c>
      <c r="D39" s="1296">
        <v>20853833.086718298</v>
      </c>
      <c r="E39" s="1296">
        <v>2372</v>
      </c>
      <c r="F39" s="1296">
        <v>12558338.422570899</v>
      </c>
    </row>
    <row r="40" spans="1:6">
      <c r="A40" s="1295" t="s">
        <v>29</v>
      </c>
      <c r="B40" s="1295" t="s">
        <v>28</v>
      </c>
      <c r="C40" s="1296">
        <v>0</v>
      </c>
      <c r="D40" s="1296">
        <v>0</v>
      </c>
      <c r="E40" s="1296">
        <v>0</v>
      </c>
      <c r="F40" s="1296">
        <v>0</v>
      </c>
    </row>
    <row r="41" spans="1:6">
      <c r="A41" s="1295" t="s">
        <v>31</v>
      </c>
      <c r="B41" s="1295" t="s">
        <v>32</v>
      </c>
      <c r="C41" s="1296">
        <v>8</v>
      </c>
      <c r="D41" s="1296">
        <v>84772.054006924096</v>
      </c>
      <c r="E41" s="1296">
        <v>55</v>
      </c>
      <c r="F41" s="1296">
        <v>535246.73975395702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49700.103958022402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19012781.066866402</v>
      </c>
      <c r="E48" s="1296">
        <v>30</v>
      </c>
      <c r="F48" s="1296">
        <v>8811589.1255725697</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9</v>
      </c>
      <c r="D51" s="1296">
        <v>115339.561187026</v>
      </c>
      <c r="E51" s="1296">
        <v>122</v>
      </c>
      <c r="F51" s="1296">
        <v>2980500.4141905098</v>
      </c>
    </row>
    <row r="52" spans="1:6">
      <c r="A52" s="1295" t="s">
        <v>41</v>
      </c>
      <c r="B52" s="1295" t="s">
        <v>28</v>
      </c>
      <c r="C52" s="1296">
        <v>5</v>
      </c>
      <c r="D52" s="1296">
        <v>138662.928395733</v>
      </c>
      <c r="E52" s="1296">
        <v>11</v>
      </c>
      <c r="F52" s="1296">
        <v>243185.204145581</v>
      </c>
    </row>
    <row r="53" spans="1:6">
      <c r="A53" s="1295" t="s">
        <v>43</v>
      </c>
      <c r="B53" s="1295" t="s">
        <v>44</v>
      </c>
      <c r="C53" s="1296">
        <v>33</v>
      </c>
      <c r="D53" s="1296">
        <v>616107.47858492704</v>
      </c>
      <c r="E53" s="1296">
        <v>88</v>
      </c>
      <c r="F53" s="1296">
        <v>497170.43823805801</v>
      </c>
    </row>
    <row r="54" spans="1:6">
      <c r="A54" s="1295" t="s">
        <v>45</v>
      </c>
      <c r="B54" s="1295" t="s">
        <v>46</v>
      </c>
      <c r="C54" s="1296">
        <v>0</v>
      </c>
      <c r="D54" s="1296">
        <v>0</v>
      </c>
      <c r="E54" s="1296">
        <v>2</v>
      </c>
      <c r="F54" s="1296">
        <v>543281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v>
      </c>
      <c r="D57" s="1296">
        <v>127418.685662859</v>
      </c>
      <c r="E57" s="1296">
        <v>61</v>
      </c>
      <c r="F57" s="1296">
        <v>1055875.4858462201</v>
      </c>
    </row>
    <row r="58" spans="1:6">
      <c r="A58" s="1295" t="s">
        <v>48</v>
      </c>
      <c r="B58" s="1295" t="s">
        <v>50</v>
      </c>
      <c r="C58" s="1296">
        <v>0</v>
      </c>
      <c r="D58" s="1296">
        <v>0</v>
      </c>
      <c r="E58" s="1296">
        <v>7</v>
      </c>
      <c r="F58" s="1296">
        <v>66921.554945587704</v>
      </c>
    </row>
    <row r="59" spans="1:6">
      <c r="A59" s="1295" t="s">
        <v>48</v>
      </c>
      <c r="B59" s="1295" t="s">
        <v>51</v>
      </c>
      <c r="C59" s="1296">
        <v>3</v>
      </c>
      <c r="D59" s="1296">
        <v>17800.756469567401</v>
      </c>
      <c r="E59" s="1296">
        <v>20</v>
      </c>
      <c r="F59" s="1296">
        <v>406116.77613326098</v>
      </c>
    </row>
    <row r="60" spans="1:6">
      <c r="A60" s="1295" t="s">
        <v>48</v>
      </c>
      <c r="B60" s="1295" t="s">
        <v>52</v>
      </c>
      <c r="C60" s="1296">
        <v>11</v>
      </c>
      <c r="D60" s="1296">
        <v>554617.29116904701</v>
      </c>
      <c r="E60" s="1296">
        <v>23</v>
      </c>
      <c r="F60" s="1296">
        <v>742844.46660398098</v>
      </c>
    </row>
    <row r="61" spans="1:6">
      <c r="A61" s="1295" t="s">
        <v>48</v>
      </c>
      <c r="B61" s="1295" t="s">
        <v>53</v>
      </c>
      <c r="C61" s="1296">
        <v>25</v>
      </c>
      <c r="D61" s="1296">
        <v>1185262.7190423501</v>
      </c>
      <c r="E61" s="1296">
        <v>63</v>
      </c>
      <c r="F61" s="1296">
        <v>947711.716865964</v>
      </c>
    </row>
    <row r="62" spans="1:6">
      <c r="A62" s="1295" t="s">
        <v>48</v>
      </c>
      <c r="B62" s="1295" t="s">
        <v>54</v>
      </c>
      <c r="C62" s="1296">
        <v>0</v>
      </c>
      <c r="D62" s="1296">
        <v>0</v>
      </c>
      <c r="E62" s="1296">
        <v>0</v>
      </c>
      <c r="F62" s="1296">
        <v>0</v>
      </c>
    </row>
    <row r="63" spans="1:6">
      <c r="A63" s="1295" t="s">
        <v>48</v>
      </c>
      <c r="B63" s="1295" t="s">
        <v>28</v>
      </c>
      <c r="C63" s="1296">
        <v>61</v>
      </c>
      <c r="D63" s="1296">
        <v>2550915.8483690601</v>
      </c>
      <c r="E63" s="1296">
        <v>128</v>
      </c>
      <c r="F63" s="1296">
        <v>3421151.0452649598</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4704.2472406569996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47255.000595054698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59008001</v>
      </c>
      <c r="E73" s="447"/>
      <c r="F73" s="327"/>
    </row>
    <row r="74" spans="1:6">
      <c r="A74" s="1295" t="s">
        <v>63</v>
      </c>
      <c r="B74" s="1295" t="s">
        <v>755</v>
      </c>
      <c r="C74" s="1309" t="s">
        <v>749</v>
      </c>
      <c r="D74" s="1310">
        <v>6728010.7975570541</v>
      </c>
      <c r="E74" s="447"/>
      <c r="F74" s="327"/>
    </row>
    <row r="75" spans="1:6">
      <c r="A75" s="1295" t="s">
        <v>64</v>
      </c>
      <c r="B75" s="1295" t="s">
        <v>754</v>
      </c>
      <c r="C75" s="1309" t="s">
        <v>750</v>
      </c>
      <c r="D75" s="1310">
        <v>14274681</v>
      </c>
      <c r="E75" s="447"/>
      <c r="F75" s="327"/>
    </row>
    <row r="76" spans="1:6">
      <c r="A76" s="1295" t="s">
        <v>64</v>
      </c>
      <c r="B76" s="1295" t="s">
        <v>755</v>
      </c>
      <c r="C76" s="1309" t="s">
        <v>751</v>
      </c>
      <c r="D76" s="1310">
        <v>525809.79755705455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207214.40488589101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1229.6591552310895</v>
      </c>
      <c r="C91" s="327"/>
      <c r="D91" s="327"/>
      <c r="E91" s="327"/>
      <c r="F91" s="327"/>
    </row>
    <row r="92" spans="1:6">
      <c r="A92" s="1290" t="s">
        <v>68</v>
      </c>
      <c r="B92" s="1291">
        <v>500.42402363841978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481</v>
      </c>
      <c r="C97" s="327"/>
      <c r="D97" s="327"/>
      <c r="E97" s="327"/>
      <c r="F97" s="327"/>
    </row>
    <row r="98" spans="1:6">
      <c r="A98" s="1295" t="s">
        <v>71</v>
      </c>
      <c r="B98" s="1296">
        <v>0</v>
      </c>
      <c r="C98" s="327"/>
      <c r="D98" s="327"/>
      <c r="E98" s="327"/>
      <c r="F98" s="327"/>
    </row>
    <row r="99" spans="1:6">
      <c r="A99" s="1295" t="s">
        <v>72</v>
      </c>
      <c r="B99" s="1296">
        <v>126</v>
      </c>
      <c r="C99" s="327"/>
      <c r="D99" s="327"/>
      <c r="E99" s="327"/>
      <c r="F99" s="327"/>
    </row>
    <row r="100" spans="1:6">
      <c r="A100" s="1295" t="s">
        <v>73</v>
      </c>
      <c r="B100" s="1296">
        <v>304</v>
      </c>
      <c r="C100" s="327"/>
      <c r="D100" s="327"/>
      <c r="E100" s="327"/>
      <c r="F100" s="327"/>
    </row>
    <row r="101" spans="1:6">
      <c r="A101" s="1295" t="s">
        <v>74</v>
      </c>
      <c r="B101" s="1296">
        <v>59</v>
      </c>
      <c r="C101" s="327"/>
      <c r="D101" s="327"/>
      <c r="E101" s="327"/>
      <c r="F101" s="327"/>
    </row>
    <row r="102" spans="1:6">
      <c r="A102" s="1295" t="s">
        <v>75</v>
      </c>
      <c r="B102" s="1296">
        <v>54</v>
      </c>
      <c r="C102" s="327"/>
      <c r="D102" s="327"/>
      <c r="E102" s="327"/>
      <c r="F102" s="327"/>
    </row>
    <row r="103" spans="1:6">
      <c r="A103" s="1295" t="s">
        <v>76</v>
      </c>
      <c r="B103" s="1296">
        <v>162</v>
      </c>
      <c r="C103" s="327"/>
      <c r="D103" s="327"/>
      <c r="E103" s="327"/>
      <c r="F103" s="327"/>
    </row>
    <row r="104" spans="1:6">
      <c r="A104" s="1295" t="s">
        <v>77</v>
      </c>
      <c r="B104" s="1296">
        <v>1113</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34096.053409267959</v>
      </c>
      <c r="C3" s="44" t="s">
        <v>169</v>
      </c>
      <c r="D3" s="44"/>
      <c r="E3" s="157"/>
      <c r="F3" s="44"/>
      <c r="G3" s="44"/>
      <c r="H3" s="44"/>
      <c r="I3" s="44"/>
      <c r="J3" s="44"/>
      <c r="K3" s="97"/>
    </row>
    <row r="4" spans="1:11">
      <c r="A4" s="354" t="s">
        <v>170</v>
      </c>
      <c r="B4" s="50">
        <f>IF(ISERROR('SEAP template'!B78+'SEAP template'!C78),0,'SEAP template'!B78+'SEAP template'!C78)</f>
        <v>1773.7331788695094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0.20950321391086252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62.357142857142847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543.28099999999995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0.20950321391086252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113.81911555670729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B32*B41</f>
        <v>763.61608593411358</v>
      </c>
      <c r="F5" s="18">
        <f>B36*B45</f>
        <v>23280.437456708947</v>
      </c>
      <c r="G5" s="19"/>
      <c r="H5" s="18"/>
      <c r="I5" s="18"/>
      <c r="J5" s="18">
        <f>B35*B44+C35*C44</f>
        <v>422.41542568053939</v>
      </c>
      <c r="K5" s="18"/>
      <c r="L5" s="18"/>
      <c r="M5" s="18"/>
      <c r="N5" s="18">
        <f>B34*B43+C34*C43</f>
        <v>3848.8357712921784</v>
      </c>
      <c r="O5" s="18">
        <f>B52*B53*B54</f>
        <v>40.646666666666668</v>
      </c>
      <c r="P5" s="18">
        <f>B60*B61*B62/1000-B60*B61*B62/1000/B63</f>
        <v>286</v>
      </c>
    </row>
    <row r="6" spans="1:16">
      <c r="A6" s="17" t="s">
        <v>628</v>
      </c>
      <c r="B6" s="768">
        <f>kWh_PV_kleiner_dan_10kW</f>
        <v>1229.6591552310895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13787.997577801989</v>
      </c>
      <c r="C8" s="22">
        <f>C5</f>
        <v>0</v>
      </c>
      <c r="D8" s="22">
        <f>D5</f>
        <v>18810.157444219905</v>
      </c>
      <c r="E8" s="22">
        <f>E5</f>
        <v>763.61608593411358</v>
      </c>
      <c r="F8" s="22">
        <f>F5</f>
        <v>23280.437456708947</v>
      </c>
      <c r="G8" s="22"/>
      <c r="H8" s="22"/>
      <c r="I8" s="22"/>
      <c r="J8" s="22">
        <f>J5</f>
        <v>422.41542568053939</v>
      </c>
      <c r="K8" s="22"/>
      <c r="L8" s="22">
        <f>L5</f>
        <v>0</v>
      </c>
      <c r="M8" s="22">
        <f>M5</f>
        <v>0</v>
      </c>
      <c r="N8" s="22">
        <f>N5</f>
        <v>3848.8357712921784</v>
      </c>
      <c r="O8" s="22">
        <f>O5</f>
        <v>40.646666666666668</v>
      </c>
      <c r="P8" s="22">
        <f>P5</f>
        <v>286</v>
      </c>
    </row>
    <row r="9" spans="1:16">
      <c r="B9" s="20"/>
      <c r="C9" s="20"/>
      <c r="D9" s="258"/>
      <c r="E9" s="20"/>
      <c r="F9" s="20"/>
      <c r="G9" s="20"/>
      <c r="H9" s="20"/>
      <c r="I9" s="20"/>
      <c r="J9" s="20"/>
      <c r="K9" s="20"/>
      <c r="L9" s="20"/>
      <c r="M9" s="20"/>
      <c r="N9" s="20"/>
      <c r="O9" s="20"/>
      <c r="P9" s="20"/>
    </row>
    <row r="10" spans="1:16">
      <c r="A10" s="25" t="s">
        <v>213</v>
      </c>
      <c r="B10" s="26">
        <f ca="1">'EF ele_warmte'!B12</f>
        <v>0.20950321391086252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2888.6298059447045</v>
      </c>
      <c r="C12" s="24">
        <f ca="1">C10*C8</f>
        <v>0</v>
      </c>
      <c r="D12" s="24">
        <f>D8*D10</f>
        <v>3799.6518037324213</v>
      </c>
      <c r="E12" s="24">
        <f>E10*E8</f>
        <v>173.34085150704379</v>
      </c>
      <c r="F12" s="24">
        <f>F10*F8</f>
        <v>6215.8768009412888</v>
      </c>
      <c r="G12" s="24"/>
      <c r="H12" s="24"/>
      <c r="I12" s="24"/>
      <c r="J12" s="24">
        <f>J10*J8</f>
        <v>149.53506069091094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2550</v>
      </c>
      <c r="C26" s="37"/>
      <c r="D26" s="228"/>
    </row>
    <row r="27" spans="1:5" s="16" customFormat="1">
      <c r="A27" s="230" t="s">
        <v>654</v>
      </c>
      <c r="B27" s="38">
        <f>SUM(HH_hh_gas_aantal,HH_rest_gas_aantal)</f>
        <v>1123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1066.8499999999999</v>
      </c>
      <c r="C31" s="35" t="s">
        <v>110</v>
      </c>
      <c r="D31" s="174"/>
    </row>
    <row r="32" spans="1:5">
      <c r="A32" s="171" t="s">
        <v>72</v>
      </c>
      <c r="B32" s="34">
        <f>IF((B21*($B$26-($B$27-0.05*$B$27)-$B$60))&lt;0,0,B21*($B$26-($B$27-0.05*$B$27)-$B$60))</f>
        <v>36.080271573950583</v>
      </c>
      <c r="C32" s="35" t="s">
        <v>110</v>
      </c>
      <c r="D32" s="174"/>
    </row>
    <row r="33" spans="1:6">
      <c r="A33" s="171" t="s">
        <v>73</v>
      </c>
      <c r="B33" s="34">
        <f>IF((B22*($B$26-($B$27-0.05*$B$27)-$B$60))&lt;0,0,B22*($B$26-($B$27-0.05*$B$27)-$B$60))</f>
        <v>242.86254406058282</v>
      </c>
      <c r="C33" s="35" t="s">
        <v>110</v>
      </c>
      <c r="D33" s="174"/>
    </row>
    <row r="34" spans="1:6">
      <c r="A34" s="171" t="s">
        <v>74</v>
      </c>
      <c r="B34" s="34">
        <f>IF((B24*($B$26-($B$27-0.05*$B$27)-$B$60))&lt;0,0,B24*($B$26-($B$27-0.05*$B$27)-$B$60))</f>
        <v>61.595060252350898</v>
      </c>
      <c r="C34" s="34">
        <f>B26*C24</f>
        <v>521.48093555613423</v>
      </c>
      <c r="D34" s="233"/>
    </row>
    <row r="35" spans="1:6">
      <c r="A35" s="171" t="s">
        <v>76</v>
      </c>
      <c r="B35" s="34">
        <f>IF((B19*($B$26-($B$27-0.05*$B$27)-$B$60))&lt;0,0,B19*($B$26-($B$27-0.05*$B$27)-$B$60))</f>
        <v>22.899094170751152</v>
      </c>
      <c r="C35" s="34">
        <f>B35/2</f>
        <v>11.449547085375576</v>
      </c>
      <c r="D35" s="233"/>
    </row>
    <row r="36" spans="1:6">
      <c r="A36" s="171" t="s">
        <v>77</v>
      </c>
      <c r="B36" s="34">
        <f>IF((B18*($B$26-($B$27-0.05*$B$27)-$B$60))&lt;0,0,B18*($B$26-($B$27-0.05*$B$27)-$B$60))</f>
        <v>1104.7130299423643</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3.1266666666666669</v>
      </c>
      <c r="P5" s="18">
        <f>B46*B47*B48/1000-B46*B47*B48/1000/B49</f>
        <v>0</v>
      </c>
      <c r="R5" s="33"/>
    </row>
    <row r="6" spans="1:18">
      <c r="A6" s="33" t="s">
        <v>53</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52</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51</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50</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49</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0.20950321391086252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1391.2314514298771</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947.71171686596404</v>
      </c>
      <c r="C26" s="40">
        <f>IF(ISERROR(B26*3.6/1000000/'E Balans VL '!Z12*100),0,B26*3.6/1000000/'E Balans VL '!Z12*100)</f>
        <v>2.0138194349909093E-2</v>
      </c>
      <c r="D26" s="236" t="s">
        <v>691</v>
      </c>
      <c r="F26" s="6"/>
    </row>
    <row r="27" spans="1:18">
      <c r="A27" s="231" t="s">
        <v>52</v>
      </c>
      <c r="B27" s="34">
        <f>IF(ISERROR(TER_horeca_ele_kWh/1000),0,TER_horeca_ele_kWh/1000)</f>
        <v>742.844466603981</v>
      </c>
      <c r="C27" s="40">
        <f>IF(ISERROR(B27*3.6/1000000/'E Balans VL '!Z9*100),0,B27*3.6/1000000/'E Balans VL '!Z9*100)</f>
        <v>5.8467603913082089E-2</v>
      </c>
      <c r="D27" s="236" t="s">
        <v>691</v>
      </c>
      <c r="F27" s="6"/>
    </row>
    <row r="28" spans="1:18">
      <c r="A28" s="171" t="s">
        <v>51</v>
      </c>
      <c r="B28" s="34">
        <f>IF(ISERROR(TER_handel_ele_kWh/1000),0,TER_handel_ele_kWh/1000)</f>
        <v>406.116776133261</v>
      </c>
      <c r="C28" s="40">
        <f>IF(ISERROR(B28*3.6/1000000/'E Balans VL '!Z13*100),0,B28*3.6/1000000/'E Balans VL '!Z13*100)</f>
        <v>1.1375548244610505E-2</v>
      </c>
      <c r="D28" s="236" t="s">
        <v>691</v>
      </c>
      <c r="F28" s="6"/>
    </row>
    <row r="29" spans="1:18">
      <c r="A29" s="231" t="s">
        <v>50</v>
      </c>
      <c r="B29" s="34">
        <f>IF(ISERROR(TER_gezond_ele_kWh/1000),0,TER_gezond_ele_kWh/1000)</f>
        <v>66.921554945587701</v>
      </c>
      <c r="C29" s="40">
        <f>IF(ISERROR(B29*3.6/1000000/'E Balans VL '!Z10*100),0,B29*3.6/1000000/'E Balans VL '!Z10*100)</f>
        <v>8.5612905038619028E-3</v>
      </c>
      <c r="D29" s="236" t="s">
        <v>691</v>
      </c>
      <c r="F29" s="6"/>
    </row>
    <row r="30" spans="1:18">
      <c r="A30" s="231" t="s">
        <v>49</v>
      </c>
      <c r="B30" s="34">
        <f>IF(ISERROR(TER_ander_ele_kWh/1000),0,TER_ander_ele_kWh/1000)</f>
        <v>1055.87548584622</v>
      </c>
      <c r="C30" s="40">
        <f>IF(ISERROR(B30*3.6/1000000/'E Balans VL '!Z14*100),0,B30*3.6/1000000/'E Balans VL '!Z14*100)</f>
        <v>7.8970589379033368E-2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3421.15104526496</v>
      </c>
      <c r="C32" s="40">
        <f>IF(ISERROR(B32*3.6/1000000/'E Balans VL '!Z8*100),0,B32*3.6/1000000/'E Balans VL '!Z8*100)</f>
        <v>2.8183209896500642E-2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32</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0.20950321391086252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1968.6044851941347</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49.700103958022403</v>
      </c>
      <c r="C30" s="40">
        <f>IF(ISERROR(B30*3.6/1000000/'E Balans VL '!Z18*100),0,B30*3.6/1000000/'E Balans VL '!Z18*100)</f>
        <v>2.765478443520185E-3</v>
      </c>
      <c r="D30" s="236" t="s">
        <v>691</v>
      </c>
    </row>
    <row r="31" spans="1:18">
      <c r="A31" s="6" t="s">
        <v>32</v>
      </c>
      <c r="B31" s="38">
        <f>IF( ISERROR(IND_ander_ele_kWh/1000),0,IND_ander_ele_kWh/1000)</f>
        <v>535.24673975395706</v>
      </c>
      <c r="C31" s="40">
        <f>IF(ISERROR(B31*3.6/1000000/'E Balans VL '!Z19*100),0,B31*3.6/1000000/'E Balans VL '!Z19*100)</f>
        <v>2.4882215211194922E-2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8811.5891255725692</v>
      </c>
      <c r="C37" s="40">
        <f>IF(ISERROR(B37*3.6/1000000/'E Balans VL '!Z15*100),0,B37*3.6/1000000/'E Balans VL '!Z15*100)</f>
        <v>6.654051458352904E-2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3223.685618336091</v>
      </c>
      <c r="C5" s="18">
        <f>'Eigen informatie GS &amp; warmtenet'!B60</f>
        <v>0</v>
      </c>
      <c r="D5" s="31">
        <f>IF(ISERROR(SUM(LB_lb_gas_kWh,LB_rest_gas_kWh)/1000),0,SUM(LB_lb_gas_kWh,LB_rest_gas_kWh)/1000)*0.902</f>
        <v>229.11024560364862</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495</v>
      </c>
      <c r="B6" s="18" t="s">
        <v>210</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3223.685618336091</v>
      </c>
      <c r="C8" s="22">
        <f>C5+C6</f>
        <v>62.357142857142847</v>
      </c>
      <c r="D8" s="22">
        <f>MAX((D5+D6),0)</f>
        <v>229.11024560364862</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0.20950321391086252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675.37249767963715</v>
      </c>
      <c r="C12" s="24">
        <f ca="1">C8*C10</f>
        <v>0</v>
      </c>
      <c r="D12" s="24">
        <f>D8*D10</f>
        <v>46.280269611937022</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0.43643551987323537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717.95939576238686</v>
      </c>
      <c r="C26" s="246">
        <f>B26*'GWP N2O_CH4'!B5</f>
        <v>15077.147311010123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294.66000918800438</v>
      </c>
      <c r="C27" s="246">
        <f>B27*'GWP N2O_CH4'!B5</f>
        <v>6187.8601929480919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46">
        <f>B28*'GWP N2O_CH4'!B4</f>
        <v>3302.4085291954889</v>
      </c>
      <c r="D28" s="51"/>
    </row>
    <row r="29" spans="1:4">
      <c r="A29" s="42" t="s">
        <v>272</v>
      </c>
      <c r="B29" s="246">
        <f>B34*'ha_N2O bodem landbouw'!B4</f>
        <v>12.922499853251114</v>
      </c>
      <c r="C29" s="246">
        <f>B29*'GWP N2O_CH4'!B4</f>
        <v>4005.9749545078453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3.488668156634202E-3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1.080210825507894E-5</v>
      </c>
      <c r="C5" s="435" t="s">
        <v>210</v>
      </c>
      <c r="D5" s="420">
        <f>SUM(D6:D11)</f>
        <v>1.3629755784375582E-5</v>
      </c>
      <c r="E5" s="420">
        <f>SUM(E6:E11)</f>
        <v>8.7069624016690309E-4</v>
      </c>
      <c r="F5" s="433" t="s">
        <v>210</v>
      </c>
      <c r="G5" s="420">
        <f>SUM(G6:G11)</f>
        <v>0.20528420132840247</v>
      </c>
      <c r="H5" s="420">
        <f>SUM(H6:H11)</f>
        <v>3.2796633795214074E-2</v>
      </c>
      <c r="I5" s="435" t="s">
        <v>210</v>
      </c>
      <c r="J5" s="435" t="s">
        <v>210</v>
      </c>
      <c r="K5" s="435" t="s">
        <v>210</v>
      </c>
      <c r="L5" s="435" t="s">
        <v>210</v>
      </c>
      <c r="M5" s="420">
        <f>SUM(M6:M11)</f>
        <v>1.0636517953219475E-2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8.2849189696677395E-6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9.649291624551727E-6</v>
      </c>
      <c r="E6" s="423">
        <f>vkm_GW_PW*SUMIFS(TableVerdeelsleutelVkm[LPG],TableVerdeelsleutelVkm[Voertuigtype],"Lichte voertuigen")*SUMIFS(TableECFTransport[EnergieConsumptieFactor (PJ per km)],TableECFTransport[Index],CONCATENATE($A6,"_LPG_LPG"))</f>
        <v>6.2602124475511119E-4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9.7671083987314902E-2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2.3538715787762163E-2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5.4241464336816968E-3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3.9382224917305981E-7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6.5146891217036512E-2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1.7481232381596867E-6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2.8988241380130467E-3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2.0925889053251611E-6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3.9804641598238543E-6</v>
      </c>
      <c r="E8" s="423">
        <f>vkm_NGW_PW*SUMIFS(TableVerdeelsleutelVkm[LPG],TableVerdeelsleutelVkm[Voertuigtype],"Lichte voertuigen")*SUMIFS(TableECFTransport[EnergieConsumptieFactor (PJ per km)],TableECFTransport[Index],CONCATENATE($A8,"_LPG_LPG"))</f>
        <v>2.4467499541179196E-4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3.5937315621758253E-2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9.2560049804809152E-3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2.0230326340361909E-3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3.0778130912979479E-8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6.5289105022928035E-3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1.6490373283734221E-7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2.9051474748854276E-4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3.0005856264108166</v>
      </c>
      <c r="C14" s="22"/>
      <c r="D14" s="22">
        <f t="shared" ref="D14:M14" si="0">((D5)*10^9/3600)+D12</f>
        <v>3.7860432734376617</v>
      </c>
      <c r="E14" s="22">
        <f t="shared" si="0"/>
        <v>241.86006671302866</v>
      </c>
      <c r="F14" s="22"/>
      <c r="G14" s="22">
        <f t="shared" si="0"/>
        <v>57023.389257889576</v>
      </c>
      <c r="H14" s="22">
        <f t="shared" si="0"/>
        <v>9110.1760542261327</v>
      </c>
      <c r="I14" s="22"/>
      <c r="J14" s="22"/>
      <c r="K14" s="22"/>
      <c r="L14" s="22"/>
      <c r="M14" s="22">
        <f t="shared" si="0"/>
        <v>2954.588320338743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0.20950321391086252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0.62863233234780469</v>
      </c>
      <c r="C18" s="24"/>
      <c r="D18" s="24">
        <f t="shared" ref="D18:M18" si="1">D14*D16</f>
        <v>0.76478074123440776</v>
      </c>
      <c r="E18" s="24">
        <f t="shared" si="1"/>
        <v>54.90223514385751</v>
      </c>
      <c r="F18" s="24"/>
      <c r="G18" s="24">
        <f t="shared" si="1"/>
        <v>15225.244931856518</v>
      </c>
      <c r="H18" s="24">
        <f t="shared" si="1"/>
        <v>2268.4338375023071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1.3540227555202042E-5</v>
      </c>
      <c r="C50" s="316">
        <f t="shared" ref="C50:P50" si="2">SUM(C51:C52)</f>
        <v>0</v>
      </c>
      <c r="D50" s="316">
        <f t="shared" si="2"/>
        <v>0</v>
      </c>
      <c r="E50" s="316">
        <f t="shared" si="2"/>
        <v>0</v>
      </c>
      <c r="F50" s="316">
        <f t="shared" si="2"/>
        <v>0</v>
      </c>
      <c r="G50" s="316">
        <f t="shared" si="2"/>
        <v>2.7006250813284981E-3</v>
      </c>
      <c r="H50" s="316">
        <f t="shared" si="2"/>
        <v>0</v>
      </c>
      <c r="I50" s="316">
        <f t="shared" si="2"/>
        <v>0</v>
      </c>
      <c r="J50" s="316">
        <f t="shared" si="2"/>
        <v>0</v>
      </c>
      <c r="K50" s="316">
        <f t="shared" si="2"/>
        <v>0</v>
      </c>
      <c r="L50" s="316">
        <f t="shared" si="2"/>
        <v>0</v>
      </c>
      <c r="M50" s="316">
        <f t="shared" si="2"/>
        <v>1.1936475226754942E-4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1.3540227555202042E-5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2.7006250813284981E-3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1.1936475226754942E-4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3.7611743208894559</v>
      </c>
      <c r="C54" s="22">
        <f t="shared" ref="C54:P54" si="3">(C50)*10^9/3600</f>
        <v>0</v>
      </c>
      <c r="D54" s="22">
        <f t="shared" si="3"/>
        <v>0</v>
      </c>
      <c r="E54" s="22">
        <f t="shared" si="3"/>
        <v>0</v>
      </c>
      <c r="F54" s="22">
        <f t="shared" si="3"/>
        <v>0</v>
      </c>
      <c r="G54" s="22">
        <f t="shared" si="3"/>
        <v>750.17363370236058</v>
      </c>
      <c r="H54" s="22">
        <f t="shared" si="3"/>
        <v>0</v>
      </c>
      <c r="I54" s="22">
        <f t="shared" si="3"/>
        <v>0</v>
      </c>
      <c r="J54" s="22">
        <f t="shared" si="3"/>
        <v>0</v>
      </c>
      <c r="K54" s="22">
        <f t="shared" si="3"/>
        <v>0</v>
      </c>
      <c r="L54" s="22">
        <f t="shared" si="3"/>
        <v>0</v>
      </c>
      <c r="M54" s="22">
        <f t="shared" si="3"/>
        <v>33.15687562987484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0.20950321391086252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0.78797810830534676</v>
      </c>
      <c r="C58" s="24">
        <f t="shared" ref="C58:P58" ca="1" si="4">C54*C56</f>
        <v>0</v>
      </c>
      <c r="D58" s="24">
        <f t="shared" si="4"/>
        <v>0</v>
      </c>
      <c r="E58" s="24">
        <f t="shared" si="4"/>
        <v>0</v>
      </c>
      <c r="F58" s="24">
        <f t="shared" si="4"/>
        <v>0</v>
      </c>
      <c r="G58" s="24">
        <f t="shared" si="4"/>
        <v>200.29636019853029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1730.0831788695093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43.649999999999991</v>
      </c>
      <c r="C8" s="546">
        <f>B48</f>
        <v>0</v>
      </c>
      <c r="D8" s="969"/>
      <c r="E8" s="969">
        <f>E48</f>
        <v>0</v>
      </c>
      <c r="F8" s="970"/>
      <c r="G8" s="547"/>
      <c r="H8" s="969">
        <f>I48</f>
        <v>0</v>
      </c>
      <c r="I8" s="969">
        <f>G48+F48</f>
        <v>0</v>
      </c>
      <c r="J8" s="969">
        <f>H48+D48+C48</f>
        <v>51.35294117647058</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1773.7331788695094</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62.357142857142847</v>
      </c>
      <c r="C17" s="570">
        <f>B49</f>
        <v>0</v>
      </c>
      <c r="D17" s="571"/>
      <c r="E17" s="571">
        <f>E49</f>
        <v>0</v>
      </c>
      <c r="F17" s="572"/>
      <c r="G17" s="573"/>
      <c r="H17" s="570">
        <f>I49</f>
        <v>0</v>
      </c>
      <c r="I17" s="571">
        <f>G49+F49</f>
        <v>0</v>
      </c>
      <c r="J17" s="571">
        <f>H49+D49+C49</f>
        <v>73.361344537815114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43007</v>
      </c>
      <c r="C28" s="777">
        <v>9970</v>
      </c>
      <c r="D28" s="630" t="s">
        <v>965</v>
      </c>
      <c r="E28" s="629" t="s">
        <v>966</v>
      </c>
      <c r="F28" s="629" t="s">
        <v>967</v>
      </c>
      <c r="G28" s="629" t="s">
        <v>968</v>
      </c>
      <c r="H28" s="629" t="s">
        <v>969</v>
      </c>
      <c r="I28" s="629" t="s">
        <v>966</v>
      </c>
      <c r="J28" s="776">
        <v>41124</v>
      </c>
      <c r="K28" s="776">
        <v>41275</v>
      </c>
      <c r="L28" s="629" t="s">
        <v>970</v>
      </c>
      <c r="M28" s="629">
        <v>9.6999999999999993</v>
      </c>
      <c r="N28" s="629">
        <v>43.649999999999991</v>
      </c>
      <c r="O28" s="629">
        <v>62.357142857142847</v>
      </c>
      <c r="P28" s="629">
        <v>0</v>
      </c>
      <c r="Q28" s="629">
        <v>124.71428571428569</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2021-06-29T16:46:14Z</dcterms:modified>
</cp:coreProperties>
</file>