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H49" i="18"/>
  <c r="N6" i="17"/>
  <c r="L6" i="17"/>
  <c r="F6" i="17"/>
  <c r="D6" i="17"/>
  <c r="C6" i="17"/>
  <c r="N16" i="16"/>
  <c r="L16" i="16"/>
  <c r="F16" i="16"/>
  <c r="D16" i="16"/>
  <c r="C16" i="16"/>
  <c r="B16" i="16"/>
  <c r="B13" i="15"/>
  <c r="I49" i="18" l="1"/>
  <c r="H8" i="18" s="1"/>
  <c r="H10" i="18" s="1"/>
  <c r="F49" i="18"/>
  <c r="D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O15" i="48" l="1"/>
  <c r="N52" i="14"/>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<sst xmlns="http://schemas.openxmlformats.org/spreadsheetml/2006/main" count="2583" uniqueCount="975">
  <si>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</si>
  <si>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</si>
  <si>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</si>
  <si>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</si>
  <si>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</si>
  <si>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</si>
  <si>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</si>
  <si>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</si>
  <si>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</si>
  <si>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</si>
  <si>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</si>
  <si>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</si>
  <si>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</si>
  <si>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</si>
  <si>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</si>
  <si>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</si>
  <si>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</si>
  <si>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</si>
  <si>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</si>
  <si>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</si>
  <si>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</si>
  <si>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</si>
  <si>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</si>
  <si>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</si>
  <si>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</si>
  <si>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</si>
  <si>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</si>
  <si>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</si>
  <si>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</si>
  <si>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</si>
  <si>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</si>
  <si>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</si>
  <si>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</si>
  <si>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</si>
  <si>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</si>
  <si>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</si>
  <si>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</si>
  <si>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</si>
  <si>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</si>
  <si>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</si>
  <si>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</si>
  <si>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</si>
  <si>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</si>
  <si>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</si>
  <si>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</si>
  <si>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</si>
  <si>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</si>
  <si>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</si>
  <si>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</si>
  <si>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</si>
  <si>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</si>
  <si>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</si>
  <si>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</si>
  <si>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</si>
  <si>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</si>
  <si>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</si>
  <si>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</si>
  <si>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</si>
  <si>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</si>
  <si>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</si>
  <si>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</si>
  <si>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</si>
  <si>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</si>
  <si>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</si>
  <si>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</si>
  <si>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</si>
  <si>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</si>
  <si>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</si>
  <si>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</si>
  <si>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</si>
  <si>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</si>
  <si>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</si>
  <si>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</si>
  <si>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</si>
  <si>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</si>
  <si>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</si>
  <si>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</si>
  <si>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</si>
  <si>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</si>
  <si>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</si>
  <si>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</si>
  <si>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</si>
  <si>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</si>
  <si>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</si>
  <si>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</si>
  <si>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</si>
  <si>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</si>
  <si>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</si>
  <si>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</si>
  <si>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</si>
  <si>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</si>
  <si>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</si>
  <si>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</si>
  <si>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</si>
  <si>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</si>
  <si>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</si>
  <si>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</si>
  <si>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</si>
  <si>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</si>
  <si>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</si>
  <si>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</si>
  <si>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</si>
  <si>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</si>
  <si>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</si>
  <si>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</si>
  <si>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</si>
  <si>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</si>
  <si>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</si>
  <si>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</si>
  <si>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</si>
  <si>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</si>
  <si>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</si>
  <si>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</si>
  <si>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</si>
  <si>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</si>
  <si>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</si>
  <si>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</si>
  <si>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</si>
  <si>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</si>
  <si>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</si>
  <si>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</si>
  <si>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</si>
  <si>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</si>
  <si>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</si>
  <si>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</si>
  <si>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</si>
  <si>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</si>
  <si>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</si>
  <si>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</si>
  <si>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</si>
  <si>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</si>
  <si>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</si>
  <si>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</si>
  <si>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</si>
  <si>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</si>
  <si>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</si>
  <si>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</si>
  <si>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</si>
  <si>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</si>
  <si>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</si>
  <si>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</si>
  <si>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</si>
  <si>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</si>
  <si>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</si>
  <si>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</si>
  <si>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</si>
  <si>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</si>
  <si>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</si>
  <si>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</si>
  <si>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</si>
  <si>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</si>
  <si>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</si>
  <si>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</si>
  <si>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</si>
  <si>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</si>
  <si>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</si>
  <si>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</si>
  <si>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</si>
  <si>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</si>
  <si>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</si>
  <si>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</si>
  <si>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</si>
  <si>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</si>
  <si>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</si>
  <si>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</si>
  <si>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</si>
  <si>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</si>
  <si>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</si>
  <si>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</si>
  <si>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</si>
  <si>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</si>
  <si>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</si>
  <si>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</si>
  <si>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</si>
  <si>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</si>
  <si>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</si>
  <si>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</si>
  <si>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</si>
  <si>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</si>
  <si>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</si>
  <si>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</si>
  <si>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</si>
  <si>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</si>
  <si>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</si>
  <si>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</si>
  <si>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</si>
  <si>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</si>
  <si>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</si>
  <si>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</si>
  <si>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</si>
  <si>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</si>
  <si>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</si>
  <si>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</si>
  <si>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</si>
  <si>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</si>
  <si>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</si>
  <si>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</si>
  <si>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</si>
  <si>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</si>
  <si>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</si>
  <si>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</si>
  <si>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</si>
  <si>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</si>
  <si>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</si>
  <si>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</si>
  <si>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</si>
  <si>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</si>
  <si>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</si>
  <si>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</si>
  <si>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</si>
  <si>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</si>
  <si>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</si>
  <si>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</si>
  <si>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</si>
  <si>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</si>
  <si>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</si>
  <si>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</si>
  <si>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</si>
  <si>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</si>
  <si>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</si>
  <si>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</si>
  <si>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</si>
  <si>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</si>
  <si>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</si>
  <si>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</si>
  <si>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</si>
  <si>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</si>
  <si>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</si>
  <si>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</si>
  <si>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</si>
  <si>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</si>
  <si>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</si>
  <si>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</si>
  <si>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</si>
  <si>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</si>
  <si>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</si>
  <si>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</si>
  <si>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</si>
  <si>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</si>
  <si>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</si>
  <si>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</si>
  <si>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</si>
  <si>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</si>
  <si>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</si>
  <si>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</si>
  <si>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</si>
  <si>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</si>
  <si>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</si>
  <si>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</si>
  <si>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</si>
  <si>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</si>
  <si>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</si>
  <si>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</si>
  <si>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</si>
  <si>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</si>
  <si>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</si>
  <si>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</si>
  <si>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</si>
  <si>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</si>
  <si>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</si>
  <si>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</si>
  <si>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</si>
  <si>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</si>
  <si>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</si>
  <si>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</si>
  <si>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</si>
  <si>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</si>
  <si>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</si>
  <si>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</si>
  <si>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</si>
  <si>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</si>
  <si>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</si>
  <si>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</si>
  <si>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</si>
  <si>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</si>
  <si>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</si>
  <si>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</si>
  <si>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</si>
  <si>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</si>
  <si>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</si>
  <si>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</si>
  <si>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</si>
  <si>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</si>
  <si>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</si>
  <si>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</si>
  <si>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</si>
  <si>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</si>
  <si>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</si>
  <si>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</si>
  <si>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</si>
  <si>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</si>
  <si>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</si>
  <si>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</si>
  <si>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</si>
  <si>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</si>
  <si>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</si>
  <si>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</si>
  <si>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</si>
  <si>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</si>
  <si>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</si>
  <si>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</si>
  <si>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</si>
  <si>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</si>
  <si>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</si>
  <si>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</si>
  <si>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</si>
  <si>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</si>
  <si>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</si>
  <si>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</si>
  <si>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</si>
  <si>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</si>
  <si>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</si>
  <si>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</si>
  <si>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</si>
  <si>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</si>
  <si>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</si>
  <si>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</si>
  <si>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</si>
  <si>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</si>
  <si>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</si>
  <si>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</si>
  <si>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</si>
  <si>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</si>
  <si>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</si>
  <si>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</si>
  <si>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</si>
  <si>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</si>
  <si>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</si>
  <si>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</si>
  <si>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</si>
  <si>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</si>
  <si>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</si>
  <si>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</si>
  <si>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</si>
  <si>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</si>
  <si>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</si>
  <si>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</si>
  <si>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</si>
  <si>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</si>
  <si>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</si>
  <si>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</si>
  <si>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</si>
  <si>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</si>
  <si>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</si>
  <si>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</si>
  <si>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</si>
  <si>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</si>
  <si>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</si>
  <si>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</si>
  <si>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</si>
  <si>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</si>
  <si>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</si>
  <si>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</si>
  <si>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</si>
  <si>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</si>
  <si>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</si>
  <si>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</si>
  <si>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</si>
  <si>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</si>
  <si>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</si>
  <si>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</si>
  <si>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</si>
  <si>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</si>
  <si>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</si>
  <si>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</si>
  <si>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</si>
  <si>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</si>
  <si>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</si>
  <si>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</si>
  <si>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</si>
  <si>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</si>
  <si>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</si>
  <si>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</si>
  <si>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</si>
  <si>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</si>
  <si>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</si>
  <si>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</si>
  <si>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</si>
  <si>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</si>
  <si>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</si>
  <si>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</si>
  <si>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</si>
  <si>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</si>
  <si>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</si>
  <si>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</si>
  <si>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</si>
  <si>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</si>
  <si>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</si>
  <si>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</si>
  <si>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</si>
  <si>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</si>
  <si>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</si>
  <si>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</si>
  <si>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</si>
  <si>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</si>
  <si>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</si>
  <si>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</si>
  <si>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</si>
  <si>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</si>
  <si>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</si>
  <si>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</si>
  <si>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</si>
  <si>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</si>
  <si>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</si>
  <si>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</si>
  <si>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</si>
  <si>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</si>
  <si>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</si>
  <si>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</si>
  <si>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</si>
  <si>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</si>
  <si>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</si>
  <si>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</si>
  <si>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</si>
  <si>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</si>
  <si>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</si>
  <si>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</si>
  <si>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</si>
  <si>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</si>
  <si>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</si>
  <si>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</si>
  <si>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</si>
  <si>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</si>
  <si>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</si>
  <si>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</si>
  <si>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</si>
  <si>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</si>
  <si>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</si>
  <si>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</si>
  <si>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</si>
  <si>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</si>
  <si>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</si>
  <si>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</si>
  <si>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</si>
  <si>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</si>
  <si>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</si>
  <si>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</si>
  <si>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</si>
  <si>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</si>
  <si>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</si>
  <si>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</si>
  <si>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</si>
  <si>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</si>
  <si>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</si>
  <si>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</si>
  <si>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</si>
  <si>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</si>
  <si>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</si>
  <si>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</si>
  <si>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</si>
  <si>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</si>
  <si>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</si>
  <si>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</si>
  <si>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</si>
  <si>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</si>
  <si>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</si>
  <si>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</si>
  <si>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</si>
  <si>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</si>
  <si>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</si>
  <si>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</si>
  <si>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</si>
  <si>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</si>
  <si>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</si>
  <si>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</si>
  <si>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</si>
  <si>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</si>
  <si>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</si>
  <si>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</si>
  <si>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</si>
  <si>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</si>
  <si>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</si>
  <si>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</si>
  <si>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</si>
  <si>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</si>
  <si>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</si>
  <si>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</si>
  <si>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</si>
  <si>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</si>
  <si>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</si>
  <si>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</si>
  <si>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</si>
  <si>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</si>
  <si>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</si>
  <si>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</si>
  <si>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</si>
  <si>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</si>
  <si>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</si>
  <si>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</si>
  <si>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</si>
  <si>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</si>
  <si>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</si>
  <si>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</si>
  <si>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</si>
  <si>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</si>
  <si>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</si>
  <si>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</si>
  <si>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</si>
  <si>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</si>
  <si>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</si>
  <si>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</si>
  <si>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</si>
  <si>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</si>
  <si>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</si>
  <si>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</si>
  <si>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</si>
  <si>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</si>
  <si>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</si>
  <si>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</si>
  <si>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</si>
  <si>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</si>
  <si>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</si>
  <si>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</si>
  <si>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</si>
  <si>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</si>
  <si>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</si>
  <si>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</si>
  <si>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</si>
  <si>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</si>
  <si>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</si>
  <si>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</si>
  <si>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</si>
  <si>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</si>
  <si>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</si>
  <si>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</si>
  <si>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</si>
  <si>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</si>
  <si>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</si>
  <si>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</si>
  <si>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</si>
  <si>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</si>
  <si>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</si>
  <si>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</si>
  <si>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</si>
  <si>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</si>
  <si>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</si>
  <si>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</si>
  <si>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</si>
  <si>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</si>
  <si>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</si>
  <si>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</si>
  <si>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</si>
  <si>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</si>
  <si>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</si>
  <si>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</si>
  <si>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</si>
  <si>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</si>
  <si>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</si>
  <si>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</si>
  <si>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</si>
  <si>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</si>
  <si>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</si>
  <si>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</si>
  <si>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</si>
  <si>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</si>
  <si>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</si>
  <si>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</si>
  <si>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</si>
  <si>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</si>
  <si>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</si>
  <si>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</si>
  <si>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</si>
  <si>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</si>
  <si>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</si>
  <si>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</si>
  <si>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</si>
  <si>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</si>
  <si>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</si>
  <si>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</si>
  <si>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</si>
  <si>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</si>
  <si>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</si>
  <si>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</si>
  <si>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</si>
  <si>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</si>
  <si>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</si>
  <si>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</si>
  <si>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</si>
  <si>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</si>
  <si>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</si>
  <si>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</si>
  <si>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</si>
  <si>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</si>
  <si>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</si>
  <si>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</si>
  <si>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</si>
  <si>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</si>
  <si>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</si>
  <si>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</si>
  <si>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</si>
  <si>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</si>
  <si>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</si>
  <si>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</si>
  <si>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</si>
  <si>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</si>
  <si>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</si>
  <si>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</si>
  <si>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</si>
  <si>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</si>
  <si>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</si>
  <si>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</si>
  <si>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</si>
  <si>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</si>
  <si>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</si>
  <si>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</si>
  <si>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</si>
  <si>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</si>
  <si>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</si>
  <si>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</si>
  <si>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</si>
  <si>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</si>
  <si>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</si>
  <si>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</si>
  <si>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</si>
  <si>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</si>
  <si>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</si>
  <si>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</si>
  <si>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</si>
  <si>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</si>
  <si>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</si>
  <si>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</si>
  <si>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</si>
  <si>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</si>
  <si>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</si>
  <si>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</si>
  <si>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</si>
  <si>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</si>
  <si>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</si>
  <si>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</si>
  <si>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</si>
  <si>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</si>
  <si>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</si>
  <si>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</si>
  <si>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</si>
  <si>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</si>
  <si>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</si>
  <si>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</si>
  <si>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</si>
  <si>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</si>
  <si>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</si>
  <si>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</si>
  <si>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</si>
  <si>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</si>
  <si>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</si>
  <si>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</si>
  <si>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</si>
  <si>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</si>
  <si>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</si>
  <si>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</si>
  <si>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</si>
  <si>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</si>
  <si>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</si>
  <si>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</si>
  <si>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</si>
  <si>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</si>
  <si>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</si>
  <si>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</si>
  <si>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</si>
  <si>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</si>
  <si>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</si>
  <si>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</si>
  <si>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</si>
  <si>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</si>
  <si>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</si>
  <si>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</si>
  <si>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</si>
  <si>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</si>
  <si>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</si>
  <si>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</si>
  <si>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</si>
  <si>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</si>
  <si>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</si>
  <si>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</si>
  <si>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</si>
  <si>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</si>
  <si>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</si>
  <si>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</si>
  <si>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</si>
  <si>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</si>
  <si>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</si>
  <si>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</si>
  <si>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</si>
  <si>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</si>
  <si>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</si>
  <si>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</si>
  <si>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</si>
  <si>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</si>
  <si>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</si>
  <si>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</si>
  <si>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</si>
  <si>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</si>
  <si>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</si>
  <si>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</si>
  <si>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</si>
  <si>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</si>
  <si>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</si>
  <si>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</si>
  <si>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</si>
  <si>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</si>
  <si>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</si>
  <si>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</si>
  <si>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</si>
  <si>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</si>
  <si>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</si>
  <si>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</si>
  <si>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</si>
  <si>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</si>
  <si>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</si>
  <si>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</si>
  <si>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</si>
  <si>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</si>
  <si>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</si>
  <si>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</si>
  <si>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</si>
  <si>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</si>
  <si>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</si>
  <si>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</si>
  <si>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</si>
  <si>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</si>
  <si>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</si>
  <si>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</si>
  <si>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</si>
  <si>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</si>
  <si>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</si>
  <si>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</si>
  <si>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</si>
  <si>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</si>
  <si>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</si>
  <si>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</si>
  <si>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</si>
  <si>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</si>
  <si>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</si>
  <si>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</si>
  <si>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</si>
  <si>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</si>
  <si>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</si>
  <si>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</si>
  <si>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</si>
  <si>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</si>
  <si>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</si>
  <si>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</si>
  <si>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</si>
  <si>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</si>
  <si>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</si>
  <si>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</si>
  <si>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</si>
  <si>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</si>
  <si>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</si>
  <si>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</si>
  <si>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</si>
  <si>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</si>
  <si>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</si>
  <si>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</si>
  <si>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</si>
  <si>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</si>
  <si>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</si>
  <si>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</si>
  <si>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</si>
  <si>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</si>
  <si>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</si>
  <si>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</si>
  <si>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</si>
  <si>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</si>
  <si>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</si>
  <si>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</si>
  <si>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</si>
  <si>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</si>
  <si>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</si>
  <si>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</si>
  <si>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</si>
  <si>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</si>
  <si>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</si>
  <si>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</si>
  <si>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</si>
  <si>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</si>
  <si>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</si>
  <si>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</si>
  <si>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</si>
  <si>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</si>
  <si>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</si>
  <si>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</si>
  <si>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</si>
  <si>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</si>
  <si>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</si>
  <si>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</si>
  <si>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</si>
  <si>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</si>
  <si>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</si>
  <si>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</si>
  <si>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</si>
  <si>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</si>
  <si>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</si>
  <si>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</si>
  <si>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</si>
  <si>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</si>
  <si>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</si>
  <si>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</si>
  <si>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</si>
  <si>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</si>
  <si>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</si>
  <si>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</si>
  <si>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</si>
  <si>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</si>
  <si>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</si>
  <si>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</si>
  <si>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</si>
  <si>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</si>
  <si>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</si>
  <si>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</si>
  <si>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</si>
  <si>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</si>
  <si>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</si>
  <si>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</si>
  <si>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</si>
  <si>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</si>
  <si>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</si>
  <si>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</si>
  <si>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</si>
  <si>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</si>
  <si>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</si>
  <si>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</si>
  <si>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</si>
  <si>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</si>
  <si>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</si>
  <si>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</si>
  <si>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</si>
  <si>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</si>
  <si>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</si>
  <si>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</si>
  <si>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</si>
  <si>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</si>
  <si>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</si>
  <si>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</si>
  <si>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</si>
  <si>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</si>
  <si>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</si>
  <si>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</si>
  <si>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</si>
  <si>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</si>
  <si>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</si>
  <si>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</si>
  <si>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</si>
  <si>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</si>
  <si>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</si>
  <si>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</si>
  <si>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</si>
  <si>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</si>
  <si>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</si>
  <si>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</si>
  <si>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</si>
  <si>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</si>
  <si>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</si>
  <si>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</si>
  <si>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</si>
  <si>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</si>
  <si>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</si>
  <si>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</si>
  <si>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</si>
  <si>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</si>
  <si>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</si>
  <si>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</si>
  <si>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</si>
  <si>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</si>
  <si>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</si>
  <si>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</si>
  <si>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</si>
  <si>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</si>
  <si>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</si>
  <si>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</si>
  <si>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</si>
  <si>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</si>
  <si>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</si>
  <si>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</si>
  <si>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</si>
  <si>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</si>
  <si>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</si>
  <si>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</si>
  <si>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</si>
  <si>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</si>
  <si>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</si>
  <si>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</si>
  <si>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</si>
  <si>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</si>
  <si>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</si>
  <si>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</si>
  <si>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</si>
  <si>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</si>
  <si>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</si>
  <si>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</si>
  <si>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</si>
  <si>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</si>
  <si>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</si>
  <si>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</si>
  <si>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</si>
  <si>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</si>
  <si>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</si>
  <si>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</si>
  <si>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</si>
  <si>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</si>
  <si>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</si>
  <si>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</si>
  <si>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</si>
  <si>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</si>
  <si>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</si>
  <si>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</si>
  <si>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</si>
  <si>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</si>
  <si>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</si>
  <si>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</si>
  <si>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</si>
  <si>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</si>
  <si>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</si>
  <si>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</si>
  <si>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</si>
  <si>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</si>
  <si>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</si>
  <si>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</si>
  <si>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</si>
  <si>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</si>
  <si>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</si>
  <si>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</si>
  <si>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</si>
  <si>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</si>
  <si>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</si>
  <si>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</si>
  <si>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</si>
  <si>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</si>
  <si>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</si>
  <si>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</si>
  <si>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</si>
  <si>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</si>
  <si>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</si>
  <si>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</si>
  <si>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</si>
  <si>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</si>
  <si>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</si>
  <si>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</si>
  <si>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</si>
  <si>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</si>
  <si>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</si>
  <si>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</si>
  <si>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</si>
  <si>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</si>
  <si>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</si>
  <si>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</si>
  <si>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</si>
  <si>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</si>
  <si>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</si>
  <si>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</si>
  <si>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</si>
  <si>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</si>
  <si>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</si>
  <si>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</si>
  <si>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</si>
  <si>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</si>
  <si>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</si>
  <si>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</si>
  <si>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</si>
  <si>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</si>
  <si>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42008</t>
  </si>
  <si>
    <t>HAMME</t>
  </si>
  <si>
    <t>Paarden&amp;pony's 200 - 600 kg</t>
  </si>
  <si>
    <t>Paarden&amp;pony's &lt; 200 kg</t>
  </si>
  <si>
    <t>Fluvius</t>
  </si>
  <si>
    <t>referentietaak LNE (2017); Jaarverslag De Lijn</t>
  </si>
  <si>
    <t>René en Johan Vermeir</t>
  </si>
  <si>
    <t>Stuyfbergen 30 , 9220 Hamme (O.-Vl.)</t>
  </si>
  <si>
    <t>WKK-0221 Rene en Johan Vermeir</t>
  </si>
  <si>
    <t>interne verbrandingsmotor</t>
  </si>
  <si>
    <t>WKK interne verbrandinsgmotor (gas)</t>
  </si>
  <si>
    <t>INTERGEM</t>
  </si>
  <si>
    <t>SOLANI bvba</t>
  </si>
  <si>
    <t>KASTEELLAAN 25C, 9220 Moerzeke</t>
  </si>
  <si>
    <t>WKK-0015 Willaert Moerzeke</t>
  </si>
  <si>
    <t>Kasteellaan 25 C, 9220 Moerzeke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</si>
</sst>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42008</v>
      </c>
      <c r="B6" s="386"/>
      <c r="C6" s="387"/>
    </row>
    <row r="7" spans="1:7" s="384" customFormat="1" ht="15.75" customHeight="1">
      <c r="A7" s="388" t="str">
        <f>txtMunicipality</f>
        <v>HAMME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19758.674382282494</v>
      </c>
      <c r="D10" s="676">
        <f ca="1">tertiair!C16</f>
        <v>0</v>
      </c>
      <c r="E10" s="676">
        <f ca="1">tertiair!D16</f>
        <v>28069.411680322984</v>
      </c>
      <c r="F10" s="676">
        <f>tertiair!E16</f>
        <v>177.07721745068034</v>
      </c>
      <c r="G10" s="676">
        <f ca="1">tertiair!F16</f>
        <v>3792.6805753595027</v>
      </c>
      <c r="H10" s="676">
        <f>tertiair!G16</f>
        <v>0</v>
      </c>
      <c r="I10" s="676">
        <f>tertiair!H16</f>
        <v>0</v>
      </c>
      <c r="J10" s="676">
        <f>tertiair!I16</f>
        <v>0</v>
      </c>
      <c r="K10" s="676">
        <f>tertiair!J16</f>
        <v>0</v>
      </c>
      <c r="L10" s="676">
        <f>tertiair!K16</f>
        <v>0</v>
      </c>
      <c r="M10" s="676">
        <f ca="1">tertiair!L16</f>
        <v>0</v>
      </c>
      <c r="N10" s="676">
        <f>tertiair!M16</f>
        <v>0</v>
      </c>
      <c r="O10" s="676">
        <f ca="1">tertiair!N16</f>
        <v>1413.3582277450287</v>
      </c>
      <c r="P10" s="676">
        <f>tertiair!O16</f>
        <v>0</v>
      </c>
      <c r="Q10" s="677">
        <f>tertiair!P16</f>
        <v>0</v>
      </c>
      <c r="R10" s="679">
        <f ca="1">SUM(C10:Q10)</f>
        <v>53211.202083160686</v>
      </c>
      <c r="S10" s="68"/>
    </row>
    <row r="11" spans="1:19" s="445" customFormat="1">
      <c r="A11" s="791" t="s">
        <v>220</v>
      </c>
      <c r="B11" s="796"/>
      <c r="C11" s="676">
        <f>huishoudens!B8</f>
        <v>41888.0631900554</v>
      </c>
      <c r="D11" s="676">
        <f>huishoudens!C8</f>
        <v>0</v>
      </c>
      <c r="E11" s="676">
        <f>huishoudens!D8</f>
        <v>119119.25115768577</v>
      </c>
      <c r="F11" s="676">
        <f>huishoudens!E8</f>
        <v>1405.5237877735622</v>
      </c>
      <c r="G11" s="676">
        <f>huishoudens!F8</f>
        <v>42850.339637819423</v>
      </c>
      <c r="H11" s="676">
        <f>huishoudens!G8</f>
        <v>0</v>
      </c>
      <c r="I11" s="676">
        <f>huishoudens!H8</f>
        <v>0</v>
      </c>
      <c r="J11" s="676">
        <f>huishoudens!I8</f>
        <v>0</v>
      </c>
      <c r="K11" s="676">
        <f>huishoudens!J8</f>
        <v>777.504481705903</v>
      </c>
      <c r="L11" s="676">
        <f>huishoudens!K8</f>
        <v>0</v>
      </c>
      <c r="M11" s="676">
        <f>huishoudens!L8</f>
        <v>0</v>
      </c>
      <c r="N11" s="676">
        <f>huishoudens!M8</f>
        <v>0</v>
      </c>
      <c r="O11" s="676">
        <f>huishoudens!N8</f>
        <v>13831.132994407282</v>
      </c>
      <c r="P11" s="676">
        <f>huishoudens!O8</f>
        <v>98.490000000000009</v>
      </c>
      <c r="Q11" s="677">
        <f>huishoudens!P8</f>
        <v>209.73333333333335</v>
      </c>
      <c r="R11" s="679">
        <f>SUM(C11:Q11)</f>
        <v>220180.03858278066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19934.727445828241</v>
      </c>
      <c r="D13" s="676">
        <f>industrie!C18</f>
        <v>0</v>
      </c>
      <c r="E13" s="676">
        <f>industrie!D18</f>
        <v>10590.842248427522</v>
      </c>
      <c r="F13" s="676">
        <f>industrie!E18</f>
        <v>158.80880254197211</v>
      </c>
      <c r="G13" s="676">
        <f>industrie!F18</f>
        <v>4438.0171097830125</v>
      </c>
      <c r="H13" s="676">
        <f>industrie!G18</f>
        <v>0</v>
      </c>
      <c r="I13" s="676">
        <f>industrie!H18</f>
        <v>0</v>
      </c>
      <c r="J13" s="676">
        <f>industrie!I18</f>
        <v>0</v>
      </c>
      <c r="K13" s="676">
        <f>industrie!J18</f>
        <v>88.263450474706758</v>
      </c>
      <c r="L13" s="676">
        <f>industrie!K18</f>
        <v>0</v>
      </c>
      <c r="M13" s="676">
        <f>industrie!L18</f>
        <v>0</v>
      </c>
      <c r="N13" s="676">
        <f>industrie!M18</f>
        <v>0</v>
      </c>
      <c r="O13" s="676">
        <f>industrie!N18</f>
        <v>626.76068842664199</v>
      </c>
      <c r="P13" s="676">
        <f>industrie!O18</f>
        <v>0</v>
      </c>
      <c r="Q13" s="677">
        <f>industrie!P18</f>
        <v>0</v>
      </c>
      <c r="R13" s="679">
        <f>SUM(C13:Q13)</f>
        <v>35837.41974548209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81581.465018166142</v>
      </c>
      <c r="D16" s="709">
        <f t="shared" ref="D16:R16" ca="1" si="0">SUM(D9:D15)</f>
        <v>0</v>
      </c>
      <c r="E16" s="709">
        <f t="shared" ca="1" si="0"/>
        <v>157779.50508643629</v>
      </c>
      <c r="F16" s="709">
        <f t="shared" si="0"/>
        <v>1741.4098077662147</v>
      </c>
      <c r="G16" s="709">
        <f t="shared" ca="1" si="0"/>
        <v>51081.037322961936</v>
      </c>
      <c r="H16" s="709">
        <f t="shared" si="0"/>
        <v>0</v>
      </c>
      <c r="I16" s="709">
        <f t="shared" si="0"/>
        <v>0</v>
      </c>
      <c r="J16" s="709">
        <f t="shared" si="0"/>
        <v>0</v>
      </c>
      <c r="K16" s="709">
        <f t="shared" si="0"/>
        <v>865.76793218060971</v>
      </c>
      <c r="L16" s="709">
        <f t="shared" si="0"/>
        <v>0</v>
      </c>
      <c r="M16" s="709">
        <f t="shared" ca="1" si="0"/>
        <v>0</v>
      </c>
      <c r="N16" s="709">
        <f t="shared" si="0"/>
        <v>0</v>
      </c>
      <c r="O16" s="709">
        <f t="shared" ca="1" si="0"/>
        <v>15871.251910578954</v>
      </c>
      <c r="P16" s="709">
        <f t="shared" si="0"/>
        <v>98.490000000000009</v>
      </c>
      <c r="Q16" s="709">
        <f t="shared" si="0"/>
        <v>209.73333333333335</v>
      </c>
      <c r="R16" s="709">
        <f t="shared" ca="1" si="0"/>
        <v>309228.66041142342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6.1924488032178573</v>
      </c>
      <c r="D19" s="676">
        <f>transport!C54</f>
        <v>0</v>
      </c>
      <c r="E19" s="676">
        <f>transport!D54</f>
        <v>0</v>
      </c>
      <c r="F19" s="676">
        <f>transport!E54</f>
        <v>0</v>
      </c>
      <c r="G19" s="676">
        <f>transport!F54</f>
        <v>0</v>
      </c>
      <c r="H19" s="676">
        <f>transport!G54</f>
        <v>1235.096122619281</v>
      </c>
      <c r="I19" s="676">
        <f>transport!H54</f>
        <v>0</v>
      </c>
      <c r="J19" s="676">
        <f>transport!I54</f>
        <v>0</v>
      </c>
      <c r="K19" s="676">
        <f>transport!J54</f>
        <v>0</v>
      </c>
      <c r="L19" s="676">
        <f>transport!K54</f>
        <v>0</v>
      </c>
      <c r="M19" s="676">
        <f>transport!L54</f>
        <v>0</v>
      </c>
      <c r="N19" s="676">
        <f>transport!M54</f>
        <v>54.589933168560606</v>
      </c>
      <c r="O19" s="676">
        <f>transport!N54</f>
        <v>0</v>
      </c>
      <c r="P19" s="676">
        <f>transport!O54</f>
        <v>0</v>
      </c>
      <c r="Q19" s="677">
        <f>transport!P54</f>
        <v>0</v>
      </c>
      <c r="R19" s="679">
        <f>SUM(C19:Q19)</f>
        <v>1295.8785045910595</v>
      </c>
      <c r="S19" s="68"/>
    </row>
    <row r="20" spans="1:19" s="445" customFormat="1">
      <c r="A20" s="791" t="s">
        <v>302</v>
      </c>
      <c r="B20" s="796"/>
      <c r="C20" s="676">
        <f>transport!B14</f>
        <v>4.0730604874017677</v>
      </c>
      <c r="D20" s="676">
        <f>transport!C14</f>
        <v>0</v>
      </c>
      <c r="E20" s="676">
        <f>transport!D14</f>
        <v>5.9073650478784669</v>
      </c>
      <c r="F20" s="676">
        <f>transport!E14</f>
        <v>371.90829949408584</v>
      </c>
      <c r="G20" s="676">
        <f>transport!F14</f>
        <v>0</v>
      </c>
      <c r="H20" s="676">
        <f>transport!G14</f>
        <v>74697.991021442751</v>
      </c>
      <c r="I20" s="676">
        <f>transport!H14</f>
        <v>14031.352091496488</v>
      </c>
      <c r="J20" s="676">
        <f>transport!I14</f>
        <v>0</v>
      </c>
      <c r="K20" s="676">
        <f>transport!J14</f>
        <v>0</v>
      </c>
      <c r="L20" s="676">
        <f>transport!K14</f>
        <v>0</v>
      </c>
      <c r="M20" s="676">
        <f>transport!L14</f>
        <v>0</v>
      </c>
      <c r="N20" s="676">
        <f>transport!M14</f>
        <v>3966.4496642883464</v>
      </c>
      <c r="O20" s="676">
        <f>transport!N14</f>
        <v>0</v>
      </c>
      <c r="P20" s="676">
        <f>transport!O14</f>
        <v>0</v>
      </c>
      <c r="Q20" s="677">
        <f>transport!P14</f>
        <v>0</v>
      </c>
      <c r="R20" s="679">
        <f>SUM(C20:Q20)</f>
        <v>93077.68150225695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10.265509290619626</v>
      </c>
      <c r="D22" s="794">
        <f t="shared" ref="D22:R22" si="1">SUM(D18:D21)</f>
        <v>0</v>
      </c>
      <c r="E22" s="794">
        <f t="shared" si="1"/>
        <v>5.9073650478784669</v>
      </c>
      <c r="F22" s="794">
        <f t="shared" si="1"/>
        <v>371.90829949408584</v>
      </c>
      <c r="G22" s="794">
        <f t="shared" si="1"/>
        <v>0</v>
      </c>
      <c r="H22" s="794">
        <f t="shared" si="1"/>
        <v>75933.087144062025</v>
      </c>
      <c r="I22" s="794">
        <f t="shared" si="1"/>
        <v>14031.352091496488</v>
      </c>
      <c r="J22" s="794">
        <f t="shared" si="1"/>
        <v>0</v>
      </c>
      <c r="K22" s="794">
        <f t="shared" si="1"/>
        <v>0</v>
      </c>
      <c r="L22" s="794">
        <f t="shared" si="1"/>
        <v>0</v>
      </c>
      <c r="M22" s="794">
        <f t="shared" si="1"/>
        <v>0</v>
      </c>
      <c r="N22" s="794">
        <f t="shared" si="1"/>
        <v>4021.0395974569069</v>
      </c>
      <c r="O22" s="794">
        <f t="shared" si="1"/>
        <v>0</v>
      </c>
      <c r="P22" s="794">
        <f t="shared" si="1"/>
        <v>0</v>
      </c>
      <c r="Q22" s="794">
        <f t="shared" si="1"/>
        <v>0</v>
      </c>
      <c r="R22" s="794">
        <f t="shared" si="1"/>
        <v>94373.560006848013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2050.8000327918617</v>
      </c>
      <c r="D24" s="676">
        <f>+landbouw!C8</f>
        <v>19182.857142857145</v>
      </c>
      <c r="E24" s="676">
        <f>+landbouw!D8</f>
        <v>1338.5469955409353</v>
      </c>
      <c r="F24" s="676">
        <f>+landbouw!E8</f>
        <v>19.319910389995425</v>
      </c>
      <c r="G24" s="676">
        <f>+landbouw!F8</f>
        <v>6692.441107758149</v>
      </c>
      <c r="H24" s="676">
        <f>+landbouw!G8</f>
        <v>0</v>
      </c>
      <c r="I24" s="676">
        <f>+landbouw!H8</f>
        <v>0</v>
      </c>
      <c r="J24" s="676">
        <f>+landbouw!I8</f>
        <v>0</v>
      </c>
      <c r="K24" s="676">
        <f>+landbouw!J8</f>
        <v>253.69393914579666</v>
      </c>
      <c r="L24" s="676">
        <f>+landbouw!K8</f>
        <v>0</v>
      </c>
      <c r="M24" s="676">
        <f>+landbouw!L8</f>
        <v>0</v>
      </c>
      <c r="N24" s="676">
        <f>+landbouw!M8</f>
        <v>0</v>
      </c>
      <c r="O24" s="676">
        <f>+landbouw!N8</f>
        <v>0</v>
      </c>
      <c r="P24" s="676">
        <f>+landbouw!O8</f>
        <v>0</v>
      </c>
      <c r="Q24" s="677">
        <f>+landbouw!P8</f>
        <v>0</v>
      </c>
      <c r="R24" s="679">
        <f>SUM(C24:Q24)</f>
        <v>29537.659128483887</v>
      </c>
      <c r="S24" s="68"/>
    </row>
    <row r="25" spans="1:19" s="445" customFormat="1" ht="15" thickBot="1">
      <c r="A25" s="813" t="s">
        <v>879</v>
      </c>
      <c r="B25" s="979"/>
      <c r="C25" s="980">
        <f>IF(Onbekend_ele_kWh="---",0,Onbekend_ele_kWh)/1000+IF(REST_rest_ele_kWh="---",0,REST_rest_ele_kWh)/1000</f>
        <v>1480.96027848211</v>
      </c>
      <c r="D25" s="980"/>
      <c r="E25" s="980">
        <f>IF(onbekend_gas_kWh="---",0,onbekend_gas_kWh)/1000+IF(REST_rest_gas_kWh="---",0,REST_rest_gas_kWh)/1000</f>
        <v>4350.68626499115</v>
      </c>
      <c r="F25" s="980"/>
      <c r="G25" s="980"/>
      <c r="H25" s="980"/>
      <c r="I25" s="980"/>
      <c r="J25" s="980"/>
      <c r="K25" s="980"/>
      <c r="L25" s="980"/>
      <c r="M25" s="980"/>
      <c r="N25" s="980"/>
      <c r="O25" s="980"/>
      <c r="P25" s="980"/>
      <c r="Q25" s="981"/>
      <c r="R25" s="679">
        <f>SUM(C25:Q25)</f>
        <v>5831.64654347326</v>
      </c>
      <c r="S25" s="68"/>
    </row>
    <row r="26" spans="1:19" s="445" customFormat="1" ht="15.75" thickBot="1">
      <c r="A26" s="682" t="s">
        <v>880</v>
      </c>
      <c r="B26" s="799"/>
      <c r="C26" s="794">
        <f>SUM(C24:C25)</f>
        <v>3531.7603112739716</v>
      </c>
      <c r="D26" s="794">
        <f t="shared" ref="D26:R26" si="2">SUM(D24:D25)</f>
        <v>19182.857142857145</v>
      </c>
      <c r="E26" s="794">
        <f t="shared" si="2"/>
        <v>5689.2332605320853</v>
      </c>
      <c r="F26" s="794">
        <f t="shared" si="2"/>
        <v>19.319910389995425</v>
      </c>
      <c r="G26" s="794">
        <f t="shared" si="2"/>
        <v>6692.441107758149</v>
      </c>
      <c r="H26" s="794">
        <f t="shared" si="2"/>
        <v>0</v>
      </c>
      <c r="I26" s="794">
        <f t="shared" si="2"/>
        <v>0</v>
      </c>
      <c r="J26" s="794">
        <f t="shared" si="2"/>
        <v>0</v>
      </c>
      <c r="K26" s="794">
        <f t="shared" si="2"/>
        <v>253.69393914579666</v>
      </c>
      <c r="L26" s="794">
        <f t="shared" si="2"/>
        <v>0</v>
      </c>
      <c r="M26" s="794">
        <f t="shared" si="2"/>
        <v>0</v>
      </c>
      <c r="N26" s="794">
        <f t="shared" si="2"/>
        <v>0</v>
      </c>
      <c r="O26" s="794">
        <f t="shared" si="2"/>
        <v>0</v>
      </c>
      <c r="P26" s="794">
        <f t="shared" si="2"/>
        <v>0</v>
      </c>
      <c r="Q26" s="794">
        <f t="shared" si="2"/>
        <v>0</v>
      </c>
      <c r="R26" s="794">
        <f t="shared" si="2"/>
        <v>35369.305671957147</v>
      </c>
      <c r="S26" s="68"/>
    </row>
    <row r="27" spans="1:19" s="445" customFormat="1" ht="17.25" thickTop="1" thickBot="1">
      <c r="A27" s="683" t="s">
        <v>115</v>
      </c>
      <c r="B27" s="786"/>
      <c r="C27" s="684">
        <f ca="1">C22+C16+C26</f>
        <v>85123.490838730737</v>
      </c>
      <c r="D27" s="684">
        <f t="shared" ref="D27:R27" ca="1" si="3">D22+D16+D26</f>
        <v>19182.857142857145</v>
      </c>
      <c r="E27" s="684">
        <f t="shared" ca="1" si="3"/>
        <v>163474.64571201624</v>
      </c>
      <c r="F27" s="684">
        <f t="shared" si="3"/>
        <v>2132.6380176502962</v>
      </c>
      <c r="G27" s="684">
        <f t="shared" ca="1" si="3"/>
        <v>57773.478430720083</v>
      </c>
      <c r="H27" s="684">
        <f t="shared" si="3"/>
        <v>75933.087144062025</v>
      </c>
      <c r="I27" s="684">
        <f t="shared" si="3"/>
        <v>14031.352091496488</v>
      </c>
      <c r="J27" s="684">
        <f t="shared" si="3"/>
        <v>0</v>
      </c>
      <c r="K27" s="684">
        <f t="shared" si="3"/>
        <v>1119.4618713264063</v>
      </c>
      <c r="L27" s="684">
        <f t="shared" si="3"/>
        <v>0</v>
      </c>
      <c r="M27" s="684">
        <f t="shared" ca="1" si="3"/>
        <v>0</v>
      </c>
      <c r="N27" s="684">
        <f t="shared" si="3"/>
        <v>4021.0395974569069</v>
      </c>
      <c r="O27" s="684">
        <f t="shared" ca="1" si="3"/>
        <v>15871.251910578954</v>
      </c>
      <c r="P27" s="684">
        <f t="shared" si="3"/>
        <v>98.490000000000009</v>
      </c>
      <c r="Q27" s="684">
        <f t="shared" si="3"/>
        <v>209.73333333333335</v>
      </c>
      <c r="R27" s="684">
        <f t="shared" ca="1" si="3"/>
        <v>438971.52609022858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3801.5562662108032</v>
      </c>
      <c r="D40" s="676">
        <f ca="1">tertiair!C20</f>
        <v>0</v>
      </c>
      <c r="E40" s="676">
        <f ca="1">tertiair!D20</f>
        <v>5670.0211594252432</v>
      </c>
      <c r="F40" s="676">
        <f>tertiair!E20</f>
        <v>40.196528361304438</v>
      </c>
      <c r="G40" s="676">
        <f ca="1">tertiair!F20</f>
        <v>1012.6457136209873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10524.419667618336</v>
      </c>
    </row>
    <row r="41" spans="1:18">
      <c r="A41" s="804" t="s">
        <v>220</v>
      </c>
      <c r="B41" s="811"/>
      <c r="C41" s="676">
        <f ca="1">huishoudens!B12</f>
        <v>8059.2364659027298</v>
      </c>
      <c r="D41" s="676">
        <f ca="1">huishoudens!C12</f>
        <v>0</v>
      </c>
      <c r="E41" s="676">
        <f>huishoudens!D12</f>
        <v>24062.088733852524</v>
      </c>
      <c r="F41" s="676">
        <f>huishoudens!E12</f>
        <v>319.0538998245986</v>
      </c>
      <c r="G41" s="676">
        <f>huishoudens!F12</f>
        <v>11441.040683297786</v>
      </c>
      <c r="H41" s="676">
        <f>huishoudens!G12</f>
        <v>0</v>
      </c>
      <c r="I41" s="676">
        <f>huishoudens!H12</f>
        <v>0</v>
      </c>
      <c r="J41" s="676">
        <f>huishoudens!I12</f>
        <v>0</v>
      </c>
      <c r="K41" s="676">
        <f>huishoudens!J12</f>
        <v>275.23658652388963</v>
      </c>
      <c r="L41" s="676">
        <f>huishoudens!K12</f>
        <v>0</v>
      </c>
      <c r="M41" s="676">
        <f>huishoudens!L12</f>
        <v>0</v>
      </c>
      <c r="N41" s="676">
        <f>huishoudens!M12</f>
        <v>0</v>
      </c>
      <c r="O41" s="676">
        <f>huishoudens!N12</f>
        <v>0</v>
      </c>
      <c r="P41" s="676">
        <f>huishoudens!O12</f>
        <v>0</v>
      </c>
      <c r="Q41" s="751">
        <f>huishoudens!P12</f>
        <v>0</v>
      </c>
      <c r="R41" s="832">
        <f t="shared" ca="1" si="4"/>
        <v>44156.656369401528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3835.4287626120836</v>
      </c>
      <c r="D43" s="676">
        <f ca="1">industrie!C22</f>
        <v>0</v>
      </c>
      <c r="E43" s="676">
        <f>industrie!D22</f>
        <v>2139.3501341823594</v>
      </c>
      <c r="F43" s="676">
        <f>industrie!E22</f>
        <v>36.049598177027669</v>
      </c>
      <c r="G43" s="676">
        <f>industrie!F22</f>
        <v>1184.9505683120644</v>
      </c>
      <c r="H43" s="676">
        <f>industrie!G22</f>
        <v>0</v>
      </c>
      <c r="I43" s="676">
        <f>industrie!H22</f>
        <v>0</v>
      </c>
      <c r="J43" s="676">
        <f>industrie!I22</f>
        <v>0</v>
      </c>
      <c r="K43" s="676">
        <f>industrie!J22</f>
        <v>31.245261468046191</v>
      </c>
      <c r="L43" s="676">
        <f>industrie!K22</f>
        <v>0</v>
      </c>
      <c r="M43" s="676">
        <f>industrie!L22</f>
        <v>0</v>
      </c>
      <c r="N43" s="676">
        <f>industrie!M22</f>
        <v>0</v>
      </c>
      <c r="O43" s="676">
        <f>industrie!N22</f>
        <v>0</v>
      </c>
      <c r="P43" s="676">
        <f>industrie!O22</f>
        <v>0</v>
      </c>
      <c r="Q43" s="751">
        <f>industrie!P22</f>
        <v>0</v>
      </c>
      <c r="R43" s="831">
        <f t="shared" ca="1" si="4"/>
        <v>7227.0243247515809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15696.221494725616</v>
      </c>
      <c r="D46" s="709">
        <f t="shared" ref="D46:Q46" ca="1" si="5">SUM(D39:D45)</f>
        <v>0</v>
      </c>
      <c r="E46" s="709">
        <f t="shared" ca="1" si="5"/>
        <v>31871.460027460125</v>
      </c>
      <c r="F46" s="709">
        <f t="shared" si="5"/>
        <v>395.30002636293074</v>
      </c>
      <c r="G46" s="709">
        <f t="shared" ca="1" si="5"/>
        <v>13638.636965230837</v>
      </c>
      <c r="H46" s="709">
        <f t="shared" si="5"/>
        <v>0</v>
      </c>
      <c r="I46" s="709">
        <f t="shared" si="5"/>
        <v>0</v>
      </c>
      <c r="J46" s="709">
        <f t="shared" si="5"/>
        <v>0</v>
      </c>
      <c r="K46" s="709">
        <f t="shared" si="5"/>
        <v>306.48184799193581</v>
      </c>
      <c r="L46" s="709">
        <f t="shared" si="5"/>
        <v>0</v>
      </c>
      <c r="M46" s="709">
        <f t="shared" ca="1" si="5"/>
        <v>0</v>
      </c>
      <c r="N46" s="709">
        <f t="shared" si="5"/>
        <v>0</v>
      </c>
      <c r="O46" s="709">
        <f t="shared" ca="1" si="5"/>
        <v>0</v>
      </c>
      <c r="P46" s="709">
        <f t="shared" si="5"/>
        <v>0</v>
      </c>
      <c r="Q46" s="709">
        <f t="shared" si="5"/>
        <v>0</v>
      </c>
      <c r="R46" s="709">
        <f ca="1">SUM(R39:R45)</f>
        <v>61908.100361771445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1.1914231742272892</v>
      </c>
      <c r="D49" s="676">
        <f ca="1">transport!C58</f>
        <v>0</v>
      </c>
      <c r="E49" s="676">
        <f>transport!D58</f>
        <v>0</v>
      </c>
      <c r="F49" s="676">
        <f>transport!E58</f>
        <v>0</v>
      </c>
      <c r="G49" s="676">
        <f>transport!F58</f>
        <v>0</v>
      </c>
      <c r="H49" s="676">
        <f>transport!G58</f>
        <v>329.77066473934804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330.96208791357532</v>
      </c>
    </row>
    <row r="50" spans="1:18">
      <c r="A50" s="807" t="s">
        <v>302</v>
      </c>
      <c r="B50" s="817"/>
      <c r="C50" s="986">
        <f ca="1">transport!B18</f>
        <v>0.78365422289777775</v>
      </c>
      <c r="D50" s="986">
        <f>transport!C18</f>
        <v>0</v>
      </c>
      <c r="E50" s="986">
        <f>transport!D18</f>
        <v>1.1932877396714503</v>
      </c>
      <c r="F50" s="986">
        <f>transport!E18</f>
        <v>84.423183985157493</v>
      </c>
      <c r="G50" s="986">
        <f>transport!F18</f>
        <v>0</v>
      </c>
      <c r="H50" s="986">
        <f>transport!G18</f>
        <v>19944.363602725214</v>
      </c>
      <c r="I50" s="986">
        <f>transport!H18</f>
        <v>3493.8066707826256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23524.570399455566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1.9750773971250668</v>
      </c>
      <c r="D52" s="709">
        <f t="shared" ref="D52:Q52" ca="1" si="6">SUM(D48:D51)</f>
        <v>0</v>
      </c>
      <c r="E52" s="709">
        <f t="shared" si="6"/>
        <v>1.1932877396714503</v>
      </c>
      <c r="F52" s="709">
        <f t="shared" si="6"/>
        <v>84.423183985157493</v>
      </c>
      <c r="G52" s="709">
        <f t="shared" si="6"/>
        <v>0</v>
      </c>
      <c r="H52" s="709">
        <f t="shared" si="6"/>
        <v>20274.134267464564</v>
      </c>
      <c r="I52" s="709">
        <f t="shared" si="6"/>
        <v>3493.8066707826256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23855.532487369142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394.57260970888132</v>
      </c>
      <c r="D54" s="986">
        <f ca="1">+landbouw!C12</f>
        <v>4558.7495798319333</v>
      </c>
      <c r="E54" s="986">
        <f>+landbouw!D12</f>
        <v>270.38649309926893</v>
      </c>
      <c r="F54" s="986">
        <f>+landbouw!E12</f>
        <v>4.3856196585289613</v>
      </c>
      <c r="G54" s="986">
        <f>+landbouw!F12</f>
        <v>1786.881775771426</v>
      </c>
      <c r="H54" s="986">
        <f>+landbouw!G12</f>
        <v>0</v>
      </c>
      <c r="I54" s="986">
        <f>+landbouw!H12</f>
        <v>0</v>
      </c>
      <c r="J54" s="986">
        <f>+landbouw!I12</f>
        <v>0</v>
      </c>
      <c r="K54" s="986">
        <f>+landbouw!J12</f>
        <v>89.807654457612017</v>
      </c>
      <c r="L54" s="986">
        <f>+landbouw!K12</f>
        <v>0</v>
      </c>
      <c r="M54" s="986">
        <f>+landbouw!L12</f>
        <v>0</v>
      </c>
      <c r="N54" s="986">
        <f>+landbouw!M12</f>
        <v>0</v>
      </c>
      <c r="O54" s="986">
        <f>+landbouw!N12</f>
        <v>0</v>
      </c>
      <c r="P54" s="986">
        <f>+landbouw!O12</f>
        <v>0</v>
      </c>
      <c r="Q54" s="987">
        <f>+landbouw!P12</f>
        <v>0</v>
      </c>
      <c r="R54" s="708">
        <f ca="1">SUM(C54:Q54)</f>
        <v>7104.7837325276505</v>
      </c>
    </row>
    <row r="55" spans="1:18" ht="15" thickBot="1">
      <c r="A55" s="807" t="s">
        <v>879</v>
      </c>
      <c r="B55" s="817"/>
      <c r="C55" s="986">
        <f ca="1">C25*'EF ele_warmte'!B12</f>
        <v>284.9358068130984</v>
      </c>
      <c r="D55" s="986"/>
      <c r="E55" s="986">
        <f>E25*EF_CO2_aardgas</f>
        <v>878.83862552821233</v>
      </c>
      <c r="F55" s="986"/>
      <c r="G55" s="986"/>
      <c r="H55" s="986"/>
      <c r="I55" s="986"/>
      <c r="J55" s="986"/>
      <c r="K55" s="986"/>
      <c r="L55" s="986"/>
      <c r="M55" s="986"/>
      <c r="N55" s="986"/>
      <c r="O55" s="986"/>
      <c r="P55" s="986"/>
      <c r="Q55" s="987"/>
      <c r="R55" s="708">
        <f ca="1">SUM(C55:Q55)</f>
        <v>1163.7744323413108</v>
      </c>
    </row>
    <row r="56" spans="1:18" ht="15.75" thickBot="1">
      <c r="A56" s="805" t="s">
        <v>880</v>
      </c>
      <c r="B56" s="818"/>
      <c r="C56" s="709">
        <f ca="1">SUM(C54:C55)</f>
        <v>679.50841652197971</v>
      </c>
      <c r="D56" s="709">
        <f t="shared" ref="D56:Q56" ca="1" si="7">SUM(D54:D55)</f>
        <v>4558.7495798319333</v>
      </c>
      <c r="E56" s="709">
        <f t="shared" si="7"/>
        <v>1149.2251186274812</v>
      </c>
      <c r="F56" s="709">
        <f t="shared" si="7"/>
        <v>4.3856196585289613</v>
      </c>
      <c r="G56" s="709">
        <f t="shared" si="7"/>
        <v>1786.881775771426</v>
      </c>
      <c r="H56" s="709">
        <f t="shared" si="7"/>
        <v>0</v>
      </c>
      <c r="I56" s="709">
        <f t="shared" si="7"/>
        <v>0</v>
      </c>
      <c r="J56" s="709">
        <f t="shared" si="7"/>
        <v>0</v>
      </c>
      <c r="K56" s="709">
        <f t="shared" si="7"/>
        <v>89.807654457612017</v>
      </c>
      <c r="L56" s="709">
        <f t="shared" si="7"/>
        <v>0</v>
      </c>
      <c r="M56" s="709">
        <f t="shared" si="7"/>
        <v>0</v>
      </c>
      <c r="N56" s="709">
        <f t="shared" si="7"/>
        <v>0</v>
      </c>
      <c r="O56" s="709">
        <f t="shared" si="7"/>
        <v>0</v>
      </c>
      <c r="P56" s="709">
        <f t="shared" si="7"/>
        <v>0</v>
      </c>
      <c r="Q56" s="710">
        <f t="shared" si="7"/>
        <v>0</v>
      </c>
      <c r="R56" s="711">
        <f ca="1">SUM(R54:R55)</f>
        <v>8268.5581648689622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16377.70498864472</v>
      </c>
      <c r="D61" s="717">
        <f t="shared" ref="D61:Q61" ca="1" si="8">D46+D52+D56</f>
        <v>4558.7495798319333</v>
      </c>
      <c r="E61" s="717">
        <f t="shared" ca="1" si="8"/>
        <v>33021.878433827282</v>
      </c>
      <c r="F61" s="717">
        <f t="shared" si="8"/>
        <v>484.10883000661721</v>
      </c>
      <c r="G61" s="717">
        <f t="shared" ca="1" si="8"/>
        <v>15425.518741002263</v>
      </c>
      <c r="H61" s="717">
        <f t="shared" si="8"/>
        <v>20274.134267464564</v>
      </c>
      <c r="I61" s="717">
        <f t="shared" si="8"/>
        <v>3493.8066707826256</v>
      </c>
      <c r="J61" s="717">
        <f t="shared" si="8"/>
        <v>0</v>
      </c>
      <c r="K61" s="717">
        <f t="shared" si="8"/>
        <v>396.28950244954785</v>
      </c>
      <c r="L61" s="717">
        <f t="shared" si="8"/>
        <v>0</v>
      </c>
      <c r="M61" s="717">
        <f t="shared" ca="1" si="8"/>
        <v>0</v>
      </c>
      <c r="N61" s="717">
        <f t="shared" si="8"/>
        <v>0</v>
      </c>
      <c r="O61" s="717">
        <f t="shared" ca="1" si="8"/>
        <v>0</v>
      </c>
      <c r="P61" s="717">
        <f t="shared" si="8"/>
        <v>0</v>
      </c>
      <c r="Q61" s="717">
        <f t="shared" si="8"/>
        <v>0</v>
      </c>
      <c r="R61" s="717">
        <f ca="1">R46+R52+R56</f>
        <v>94032.191014009557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0.19239935800650873</v>
      </c>
      <c r="D63" s="761">
        <f t="shared" ca="1" si="9"/>
        <v>0.23764705882352941</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7615.1509853031503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4412.5557685299864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13428</v>
      </c>
      <c r="D76" s="998">
        <f>'lokale energieproductie'!C8</f>
        <v>15797.64705882353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3191.1247058823533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12027.706753833136</v>
      </c>
      <c r="C78" s="732">
        <f>SUM(C72:C77)</f>
        <v>13428</v>
      </c>
      <c r="D78" s="733">
        <f t="shared" ref="D78:H78" si="10">SUM(D76:D77)</f>
        <v>15797.64705882353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3191.1247058823533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19182.857142857145</v>
      </c>
      <c r="D87" s="754">
        <f>'lokale energieproductie'!C17</f>
        <v>22568.067226890758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4558.7495798319333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19182.857142857145</v>
      </c>
      <c r="D90" s="732">
        <f t="shared" ref="D90:H90" si="12">SUM(D87:D89)</f>
        <v>22568.067226890758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4558.7495798319333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41888.0631900554</v>
      </c>
      <c r="C4" s="449">
        <f>huishoudens!C8</f>
        <v>0</v>
      </c>
      <c r="D4" s="449">
        <f>huishoudens!D8</f>
        <v>119119.25115768577</v>
      </c>
      <c r="E4" s="449">
        <f>huishoudens!E8</f>
        <v>1405.5237877735622</v>
      </c>
      <c r="F4" s="449">
        <f>huishoudens!F8</f>
        <v>42850.339637819423</v>
      </c>
      <c r="G4" s="449">
        <f>huishoudens!G8</f>
        <v>0</v>
      </c>
      <c r="H4" s="449">
        <f>huishoudens!H8</f>
        <v>0</v>
      </c>
      <c r="I4" s="449">
        <f>huishoudens!I8</f>
        <v>0</v>
      </c>
      <c r="J4" s="449">
        <f>huishoudens!J8</f>
        <v>777.504481705903</v>
      </c>
      <c r="K4" s="449">
        <f>huishoudens!K8</f>
        <v>0</v>
      </c>
      <c r="L4" s="449">
        <f>huishoudens!L8</f>
        <v>0</v>
      </c>
      <c r="M4" s="449">
        <f>huishoudens!M8</f>
        <v>0</v>
      </c>
      <c r="N4" s="449">
        <f>huishoudens!N8</f>
        <v>13831.132994407282</v>
      </c>
      <c r="O4" s="449">
        <f>huishoudens!O8</f>
        <v>98.490000000000009</v>
      </c>
      <c r="P4" s="450">
        <f>huishoudens!P8</f>
        <v>209.73333333333335</v>
      </c>
      <c r="Q4" s="451">
        <f>SUM(B4:P4)</f>
        <v>220180.03858278066</v>
      </c>
    </row>
    <row r="5" spans="1:17">
      <c r="A5" s="448" t="s">
        <v>155</v>
      </c>
      <c r="B5" s="449">
        <f ca="1">tertiair!B16</f>
        <v>18536.643382282495</v>
      </c>
      <c r="C5" s="449">
        <f ca="1">tertiair!C16</f>
        <v>0</v>
      </c>
      <c r="D5" s="449">
        <f ca="1">tertiair!D16</f>
        <v>28069.411680322984</v>
      </c>
      <c r="E5" s="449">
        <f>tertiair!E16</f>
        <v>177.07721745068034</v>
      </c>
      <c r="F5" s="449">
        <f ca="1">tertiair!F16</f>
        <v>3792.6805753595027</v>
      </c>
      <c r="G5" s="449">
        <f>tertiair!G16</f>
        <v>0</v>
      </c>
      <c r="H5" s="449">
        <f>tertiair!H16</f>
        <v>0</v>
      </c>
      <c r="I5" s="449">
        <f>tertiair!I16</f>
        <v>0</v>
      </c>
      <c r="J5" s="449">
        <f>tertiair!J16</f>
        <v>0</v>
      </c>
      <c r="K5" s="449">
        <f>tertiair!K16</f>
        <v>0</v>
      </c>
      <c r="L5" s="449">
        <f ca="1">tertiair!L16</f>
        <v>0</v>
      </c>
      <c r="M5" s="449">
        <f>tertiair!M16</f>
        <v>0</v>
      </c>
      <c r="N5" s="449">
        <f ca="1">tertiair!N16</f>
        <v>1413.3582277450287</v>
      </c>
      <c r="O5" s="449">
        <f>tertiair!O16</f>
        <v>0</v>
      </c>
      <c r="P5" s="450">
        <f>tertiair!P16</f>
        <v>0</v>
      </c>
      <c r="Q5" s="448">
        <f t="shared" ref="Q5:Q14" ca="1" si="0">SUM(B5:P5)</f>
        <v>51989.171083160683</v>
      </c>
    </row>
    <row r="6" spans="1:17">
      <c r="A6" s="448" t="s">
        <v>193</v>
      </c>
      <c r="B6" s="449">
        <f>'openbare verlichting'!B8</f>
        <v>1222.0309999999999</v>
      </c>
      <c r="C6" s="449"/>
      <c r="D6" s="449"/>
      <c r="E6" s="449"/>
      <c r="F6" s="449"/>
      <c r="G6" s="449"/>
      <c r="H6" s="449"/>
      <c r="I6" s="449"/>
      <c r="J6" s="449"/>
      <c r="K6" s="449"/>
      <c r="L6" s="449"/>
      <c r="M6" s="449"/>
      <c r="N6" s="449"/>
      <c r="O6" s="449"/>
      <c r="P6" s="450"/>
      <c r="Q6" s="448">
        <f t="shared" si="0"/>
        <v>1222.0309999999999</v>
      </c>
    </row>
    <row r="7" spans="1:17">
      <c r="A7" s="448" t="s">
        <v>111</v>
      </c>
      <c r="B7" s="449">
        <f>landbouw!B8</f>
        <v>2050.8000327918617</v>
      </c>
      <c r="C7" s="449">
        <f>landbouw!C8</f>
        <v>19182.857142857145</v>
      </c>
      <c r="D7" s="449">
        <f>landbouw!D8</f>
        <v>1338.5469955409353</v>
      </c>
      <c r="E7" s="449">
        <f>landbouw!E8</f>
        <v>19.319910389995425</v>
      </c>
      <c r="F7" s="449">
        <f>landbouw!F8</f>
        <v>6692.441107758149</v>
      </c>
      <c r="G7" s="449">
        <f>landbouw!G8</f>
        <v>0</v>
      </c>
      <c r="H7" s="449">
        <f>landbouw!H8</f>
        <v>0</v>
      </c>
      <c r="I7" s="449">
        <f>landbouw!I8</f>
        <v>0</v>
      </c>
      <c r="J7" s="449">
        <f>landbouw!J8</f>
        <v>253.69393914579666</v>
      </c>
      <c r="K7" s="449">
        <f>landbouw!K8</f>
        <v>0</v>
      </c>
      <c r="L7" s="449">
        <f>landbouw!L8</f>
        <v>0</v>
      </c>
      <c r="M7" s="449">
        <f>landbouw!M8</f>
        <v>0</v>
      </c>
      <c r="N7" s="449">
        <f>landbouw!N8</f>
        <v>0</v>
      </c>
      <c r="O7" s="449">
        <f>landbouw!O8</f>
        <v>0</v>
      </c>
      <c r="P7" s="450">
        <f>landbouw!P8</f>
        <v>0</v>
      </c>
      <c r="Q7" s="448">
        <f t="shared" si="0"/>
        <v>29537.659128483887</v>
      </c>
    </row>
    <row r="8" spans="1:17">
      <c r="A8" s="448" t="s">
        <v>671</v>
      </c>
      <c r="B8" s="449">
        <f>industrie!B18</f>
        <v>19934.727445828241</v>
      </c>
      <c r="C8" s="449">
        <f>industrie!C18</f>
        <v>0</v>
      </c>
      <c r="D8" s="449">
        <f>industrie!D18</f>
        <v>10590.842248427522</v>
      </c>
      <c r="E8" s="449">
        <f>industrie!E18</f>
        <v>158.80880254197211</v>
      </c>
      <c r="F8" s="449">
        <f>industrie!F18</f>
        <v>4438.0171097830125</v>
      </c>
      <c r="G8" s="449">
        <f>industrie!G18</f>
        <v>0</v>
      </c>
      <c r="H8" s="449">
        <f>industrie!H18</f>
        <v>0</v>
      </c>
      <c r="I8" s="449">
        <f>industrie!I18</f>
        <v>0</v>
      </c>
      <c r="J8" s="449">
        <f>industrie!J18</f>
        <v>88.263450474706758</v>
      </c>
      <c r="K8" s="449">
        <f>industrie!K18</f>
        <v>0</v>
      </c>
      <c r="L8" s="449">
        <f>industrie!L18</f>
        <v>0</v>
      </c>
      <c r="M8" s="449">
        <f>industrie!M18</f>
        <v>0</v>
      </c>
      <c r="N8" s="449">
        <f>industrie!N18</f>
        <v>626.76068842664199</v>
      </c>
      <c r="O8" s="449">
        <f>industrie!O18</f>
        <v>0</v>
      </c>
      <c r="P8" s="450">
        <f>industrie!P18</f>
        <v>0</v>
      </c>
      <c r="Q8" s="448">
        <f t="shared" si="0"/>
        <v>35837.41974548209</v>
      </c>
    </row>
    <row r="9" spans="1:17" s="454" customFormat="1">
      <c r="A9" s="452" t="s">
        <v>568</v>
      </c>
      <c r="B9" s="453">
        <f>transport!B14</f>
        <v>4.0730604874017677</v>
      </c>
      <c r="C9" s="453">
        <f>transport!C14</f>
        <v>0</v>
      </c>
      <c r="D9" s="453">
        <f>transport!D14</f>
        <v>5.9073650478784669</v>
      </c>
      <c r="E9" s="453">
        <f>transport!E14</f>
        <v>371.90829949408584</v>
      </c>
      <c r="F9" s="453">
        <f>transport!F14</f>
        <v>0</v>
      </c>
      <c r="G9" s="453">
        <f>transport!G14</f>
        <v>74697.991021442751</v>
      </c>
      <c r="H9" s="453">
        <f>transport!H14</f>
        <v>14031.352091496488</v>
      </c>
      <c r="I9" s="453">
        <f>transport!I14</f>
        <v>0</v>
      </c>
      <c r="J9" s="453">
        <f>transport!J14</f>
        <v>0</v>
      </c>
      <c r="K9" s="453">
        <f>transport!K14</f>
        <v>0</v>
      </c>
      <c r="L9" s="453">
        <f>transport!L14</f>
        <v>0</v>
      </c>
      <c r="M9" s="453">
        <f>transport!M14</f>
        <v>3966.4496642883464</v>
      </c>
      <c r="N9" s="453">
        <f>transport!N14</f>
        <v>0</v>
      </c>
      <c r="O9" s="453">
        <f>transport!O14</f>
        <v>0</v>
      </c>
      <c r="P9" s="453">
        <f>transport!P14</f>
        <v>0</v>
      </c>
      <c r="Q9" s="452">
        <f>SUM(B9:P9)</f>
        <v>93077.68150225695</v>
      </c>
    </row>
    <row r="10" spans="1:17">
      <c r="A10" s="448" t="s">
        <v>558</v>
      </c>
      <c r="B10" s="449">
        <f>transport!B54</f>
        <v>6.1924488032178573</v>
      </c>
      <c r="C10" s="449">
        <f>transport!C54</f>
        <v>0</v>
      </c>
      <c r="D10" s="449">
        <f>transport!D54</f>
        <v>0</v>
      </c>
      <c r="E10" s="449">
        <f>transport!E54</f>
        <v>0</v>
      </c>
      <c r="F10" s="449">
        <f>transport!F54</f>
        <v>0</v>
      </c>
      <c r="G10" s="449">
        <f>transport!G54</f>
        <v>1235.096122619281</v>
      </c>
      <c r="H10" s="449">
        <f>transport!H54</f>
        <v>0</v>
      </c>
      <c r="I10" s="449">
        <f>transport!I54</f>
        <v>0</v>
      </c>
      <c r="J10" s="449">
        <f>transport!J54</f>
        <v>0</v>
      </c>
      <c r="K10" s="449">
        <f>transport!K54</f>
        <v>0</v>
      </c>
      <c r="L10" s="449">
        <f>transport!L54</f>
        <v>0</v>
      </c>
      <c r="M10" s="449">
        <f>transport!M54</f>
        <v>54.589933168560606</v>
      </c>
      <c r="N10" s="449">
        <f>transport!N54</f>
        <v>0</v>
      </c>
      <c r="O10" s="449">
        <f>transport!O54</f>
        <v>0</v>
      </c>
      <c r="P10" s="450">
        <f>transport!P54</f>
        <v>0</v>
      </c>
      <c r="Q10" s="448">
        <f t="shared" si="0"/>
        <v>1295.8785045910595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1480.96027848211</v>
      </c>
      <c r="C14" s="456"/>
      <c r="D14" s="456">
        <f>'SEAP template'!E25</f>
        <v>4350.68626499115</v>
      </c>
      <c r="E14" s="456"/>
      <c r="F14" s="456"/>
      <c r="G14" s="456"/>
      <c r="H14" s="456"/>
      <c r="I14" s="456"/>
      <c r="J14" s="456"/>
      <c r="K14" s="456"/>
      <c r="L14" s="456"/>
      <c r="M14" s="456"/>
      <c r="N14" s="456"/>
      <c r="O14" s="456"/>
      <c r="P14" s="457"/>
      <c r="Q14" s="448">
        <f t="shared" si="0"/>
        <v>5831.64654347326</v>
      </c>
    </row>
    <row r="15" spans="1:17" s="461" customFormat="1">
      <c r="A15" s="458" t="s">
        <v>562</v>
      </c>
      <c r="B15" s="459">
        <f ca="1">SUM(B4:B14)</f>
        <v>85123.490838730722</v>
      </c>
      <c r="C15" s="459">
        <f t="shared" ref="C15:Q15" ca="1" si="1">SUM(C4:C14)</f>
        <v>19182.857142857145</v>
      </c>
      <c r="D15" s="459">
        <f t="shared" ca="1" si="1"/>
        <v>163474.64571201621</v>
      </c>
      <c r="E15" s="459">
        <f t="shared" si="1"/>
        <v>2132.6380176502958</v>
      </c>
      <c r="F15" s="459">
        <f t="shared" ca="1" si="1"/>
        <v>57773.478430720083</v>
      </c>
      <c r="G15" s="459">
        <f t="shared" si="1"/>
        <v>75933.087144062025</v>
      </c>
      <c r="H15" s="459">
        <f t="shared" si="1"/>
        <v>14031.352091496488</v>
      </c>
      <c r="I15" s="459">
        <f t="shared" si="1"/>
        <v>0</v>
      </c>
      <c r="J15" s="459">
        <f t="shared" si="1"/>
        <v>1119.4618713264065</v>
      </c>
      <c r="K15" s="459">
        <f t="shared" si="1"/>
        <v>0</v>
      </c>
      <c r="L15" s="459">
        <f t="shared" ca="1" si="1"/>
        <v>0</v>
      </c>
      <c r="M15" s="459">
        <f t="shared" si="1"/>
        <v>4021.0395974569069</v>
      </c>
      <c r="N15" s="459">
        <f t="shared" ca="1" si="1"/>
        <v>15871.251910578954</v>
      </c>
      <c r="O15" s="459">
        <f t="shared" si="1"/>
        <v>98.490000000000009</v>
      </c>
      <c r="P15" s="459">
        <f t="shared" si="1"/>
        <v>209.73333333333335</v>
      </c>
      <c r="Q15" s="459">
        <f t="shared" ca="1" si="1"/>
        <v>438971.52609022864</v>
      </c>
    </row>
    <row r="17" spans="1:17">
      <c r="A17" s="462" t="s">
        <v>563</v>
      </c>
      <c r="B17" s="766">
        <f ca="1">huishoudens!B10</f>
        <v>0.19239935800650876</v>
      </c>
      <c r="C17" s="766">
        <f ca="1">huishoudens!C10</f>
        <v>0.23764705882352941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8059.2364659027298</v>
      </c>
      <c r="C22" s="449">
        <f t="shared" ref="C22:C32" ca="1" si="3">C4*$C$17</f>
        <v>0</v>
      </c>
      <c r="D22" s="449">
        <f t="shared" ref="D22:D32" si="4">D4*$D$17</f>
        <v>24062.088733852524</v>
      </c>
      <c r="E22" s="449">
        <f t="shared" ref="E22:E32" si="5">E4*$E$17</f>
        <v>319.0538998245986</v>
      </c>
      <c r="F22" s="449">
        <f t="shared" ref="F22:F32" si="6">F4*$F$17</f>
        <v>11441.040683297786</v>
      </c>
      <c r="G22" s="449">
        <f t="shared" ref="G22:G32" si="7">G4*$G$17</f>
        <v>0</v>
      </c>
      <c r="H22" s="449">
        <f t="shared" ref="H22:H32" si="8">H4*$H$17</f>
        <v>0</v>
      </c>
      <c r="I22" s="449">
        <f t="shared" ref="I22:I32" si="9">I4*$I$17</f>
        <v>0</v>
      </c>
      <c r="J22" s="449">
        <f t="shared" ref="J22:J32" si="10">J4*$J$17</f>
        <v>275.23658652388963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44156.656369401528</v>
      </c>
    </row>
    <row r="23" spans="1:17">
      <c r="A23" s="448" t="s">
        <v>155</v>
      </c>
      <c r="B23" s="449">
        <f t="shared" ca="1" si="2"/>
        <v>3566.4382863467513</v>
      </c>
      <c r="C23" s="449">
        <f t="shared" ca="1" si="3"/>
        <v>0</v>
      </c>
      <c r="D23" s="449">
        <f t="shared" ca="1" si="4"/>
        <v>5670.0211594252432</v>
      </c>
      <c r="E23" s="449">
        <f t="shared" si="5"/>
        <v>40.196528361304438</v>
      </c>
      <c r="F23" s="449">
        <f t="shared" ca="1" si="6"/>
        <v>1012.6457136209873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10289.301687754285</v>
      </c>
    </row>
    <row r="24" spans="1:17">
      <c r="A24" s="448" t="s">
        <v>193</v>
      </c>
      <c r="B24" s="449">
        <f t="shared" ca="1" si="2"/>
        <v>235.1179798640519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235.1179798640519</v>
      </c>
    </row>
    <row r="25" spans="1:17">
      <c r="A25" s="448" t="s">
        <v>111</v>
      </c>
      <c r="B25" s="449">
        <f t="shared" ca="1" si="2"/>
        <v>394.57260970888132</v>
      </c>
      <c r="C25" s="449">
        <f t="shared" ca="1" si="3"/>
        <v>4558.7495798319333</v>
      </c>
      <c r="D25" s="449">
        <f t="shared" si="4"/>
        <v>270.38649309926893</v>
      </c>
      <c r="E25" s="449">
        <f t="shared" si="5"/>
        <v>4.3856196585289613</v>
      </c>
      <c r="F25" s="449">
        <f t="shared" si="6"/>
        <v>1786.881775771426</v>
      </c>
      <c r="G25" s="449">
        <f t="shared" si="7"/>
        <v>0</v>
      </c>
      <c r="H25" s="449">
        <f t="shared" si="8"/>
        <v>0</v>
      </c>
      <c r="I25" s="449">
        <f t="shared" si="9"/>
        <v>0</v>
      </c>
      <c r="J25" s="449">
        <f t="shared" si="10"/>
        <v>89.807654457612017</v>
      </c>
      <c r="K25" s="449">
        <f t="shared" si="11"/>
        <v>0</v>
      </c>
      <c r="L25" s="449">
        <f t="shared" si="12"/>
        <v>0</v>
      </c>
      <c r="M25" s="449">
        <f t="shared" si="13"/>
        <v>0</v>
      </c>
      <c r="N25" s="449">
        <f t="shared" si="14"/>
        <v>0</v>
      </c>
      <c r="O25" s="449">
        <f t="shared" si="15"/>
        <v>0</v>
      </c>
      <c r="P25" s="450">
        <f t="shared" si="16"/>
        <v>0</v>
      </c>
      <c r="Q25" s="448">
        <f t="shared" ca="1" si="17"/>
        <v>7104.7837325276505</v>
      </c>
    </row>
    <row r="26" spans="1:17">
      <c r="A26" s="448" t="s">
        <v>671</v>
      </c>
      <c r="B26" s="449">
        <f t="shared" ca="1" si="2"/>
        <v>3835.4287626120836</v>
      </c>
      <c r="C26" s="449">
        <f t="shared" ca="1" si="3"/>
        <v>0</v>
      </c>
      <c r="D26" s="449">
        <f t="shared" si="4"/>
        <v>2139.3501341823594</v>
      </c>
      <c r="E26" s="449">
        <f t="shared" si="5"/>
        <v>36.049598177027669</v>
      </c>
      <c r="F26" s="449">
        <f t="shared" si="6"/>
        <v>1184.9505683120644</v>
      </c>
      <c r="G26" s="449">
        <f t="shared" si="7"/>
        <v>0</v>
      </c>
      <c r="H26" s="449">
        <f t="shared" si="8"/>
        <v>0</v>
      </c>
      <c r="I26" s="449">
        <f t="shared" si="9"/>
        <v>0</v>
      </c>
      <c r="J26" s="449">
        <f t="shared" si="10"/>
        <v>31.245261468046191</v>
      </c>
      <c r="K26" s="449">
        <f t="shared" si="11"/>
        <v>0</v>
      </c>
      <c r="L26" s="449">
        <f t="shared" si="12"/>
        <v>0</v>
      </c>
      <c r="M26" s="449">
        <f t="shared" si="13"/>
        <v>0</v>
      </c>
      <c r="N26" s="449">
        <f t="shared" si="14"/>
        <v>0</v>
      </c>
      <c r="O26" s="449">
        <f t="shared" si="15"/>
        <v>0</v>
      </c>
      <c r="P26" s="450">
        <f t="shared" si="16"/>
        <v>0</v>
      </c>
      <c r="Q26" s="448">
        <f t="shared" ca="1" si="17"/>
        <v>7227.0243247515809</v>
      </c>
    </row>
    <row r="27" spans="1:17" s="454" customFormat="1">
      <c r="A27" s="452" t="s">
        <v>568</v>
      </c>
      <c r="B27" s="760">
        <f t="shared" ca="1" si="2"/>
        <v>0.78365422289777775</v>
      </c>
      <c r="C27" s="453">
        <f t="shared" ca="1" si="3"/>
        <v>0</v>
      </c>
      <c r="D27" s="453">
        <f t="shared" si="4"/>
        <v>1.1932877396714503</v>
      </c>
      <c r="E27" s="453">
        <f t="shared" si="5"/>
        <v>84.423183985157493</v>
      </c>
      <c r="F27" s="453">
        <f t="shared" si="6"/>
        <v>0</v>
      </c>
      <c r="G27" s="453">
        <f t="shared" si="7"/>
        <v>19944.363602725214</v>
      </c>
      <c r="H27" s="453">
        <f t="shared" si="8"/>
        <v>3493.8066707826256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23524.570399455566</v>
      </c>
    </row>
    <row r="28" spans="1:17">
      <c r="A28" s="448" t="s">
        <v>558</v>
      </c>
      <c r="B28" s="449">
        <f t="shared" ca="1" si="2"/>
        <v>1.1914231742272892</v>
      </c>
      <c r="C28" s="449">
        <f t="shared" ca="1" si="3"/>
        <v>0</v>
      </c>
      <c r="D28" s="449">
        <f t="shared" si="4"/>
        <v>0</v>
      </c>
      <c r="E28" s="449">
        <f t="shared" si="5"/>
        <v>0</v>
      </c>
      <c r="F28" s="449">
        <f t="shared" si="6"/>
        <v>0</v>
      </c>
      <c r="G28" s="449">
        <f t="shared" si="7"/>
        <v>329.77066473934804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330.96208791357532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284.9358068130984</v>
      </c>
      <c r="C32" s="449">
        <f t="shared" ca="1" si="3"/>
        <v>0</v>
      </c>
      <c r="D32" s="449">
        <f t="shared" si="4"/>
        <v>878.83862552821233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1163.7744323413108</v>
      </c>
    </row>
    <row r="33" spans="1:17" s="461" customFormat="1">
      <c r="A33" s="458" t="s">
        <v>562</v>
      </c>
      <c r="B33" s="459">
        <f ca="1">SUM(B22:B32)</f>
        <v>16377.70498864472</v>
      </c>
      <c r="C33" s="459">
        <f t="shared" ref="C33:Q33" ca="1" si="18">SUM(C22:C32)</f>
        <v>4558.7495798319333</v>
      </c>
      <c r="D33" s="459">
        <f t="shared" ca="1" si="18"/>
        <v>33021.878433827282</v>
      </c>
      <c r="E33" s="459">
        <f t="shared" si="18"/>
        <v>484.10883000661721</v>
      </c>
      <c r="F33" s="459">
        <f t="shared" ca="1" si="18"/>
        <v>15425.518741002263</v>
      </c>
      <c r="G33" s="459">
        <f t="shared" si="18"/>
        <v>20274.134267464564</v>
      </c>
      <c r="H33" s="459">
        <f t="shared" si="18"/>
        <v>3493.8066707826256</v>
      </c>
      <c r="I33" s="459">
        <f t="shared" si="18"/>
        <v>0</v>
      </c>
      <c r="J33" s="459">
        <f t="shared" si="18"/>
        <v>396.2895024495478</v>
      </c>
      <c r="K33" s="459">
        <f t="shared" si="18"/>
        <v>0</v>
      </c>
      <c r="L33" s="459">
        <f t="shared" ca="1" si="18"/>
        <v>0</v>
      </c>
      <c r="M33" s="459">
        <f t="shared" si="18"/>
        <v>0</v>
      </c>
      <c r="N33" s="459">
        <f t="shared" ca="1" si="18"/>
        <v>0</v>
      </c>
      <c r="O33" s="459">
        <f t="shared" si="18"/>
        <v>0</v>
      </c>
      <c r="P33" s="459">
        <f t="shared" si="18"/>
        <v>0</v>
      </c>
      <c r="Q33" s="459">
        <f t="shared" ca="1" si="18"/>
        <v>94032.191014009542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7615.1509853031503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4412.5557685299864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13428</v>
      </c>
      <c r="D8" s="1015">
        <f>'SEAP template'!D76</f>
        <v>15797.64705882353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3191.1247058823533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12027.706753833136</v>
      </c>
      <c r="C10" s="1019">
        <f>SUM(C4:C9)</f>
        <v>13428</v>
      </c>
      <c r="D10" s="1019">
        <f t="shared" ref="D10:H10" si="0">SUM(D8:D9)</f>
        <v>15797.64705882353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3191.1247058823533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0.19239935800650876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19182.857142857145</v>
      </c>
      <c r="D17" s="1016">
        <f>'SEAP template'!D87</f>
        <v>22568.067226890758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4558.7495798319333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19182.857142857145</v>
      </c>
      <c r="D20" s="1019">
        <f t="shared" ref="D20:H20" si="2">SUM(D17:D19)</f>
        <v>22568.067226890758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4558.7495798319333</v>
      </c>
    </row>
    <row r="22" spans="1:16">
      <c r="A22" s="462" t="s">
        <v>899</v>
      </c>
      <c r="B22" s="766" t="s">
        <v>893</v>
      </c>
      <c r="C22" s="76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0.19239935800650876</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0.19239935800650876</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0.19239935800650876</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10053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1614</v>
      </c>
      <c r="C14" s="327"/>
      <c r="D14" s="327"/>
      <c r="E14" s="327"/>
      <c r="F14" s="327"/>
    </row>
    <row r="15" spans="1:6">
      <c r="A15" s="1295" t="s">
        <v>183</v>
      </c>
      <c r="B15" s="1296">
        <v>14</v>
      </c>
      <c r="C15" s="327"/>
      <c r="D15" s="327"/>
      <c r="E15" s="327"/>
      <c r="F15" s="327"/>
    </row>
    <row r="16" spans="1:6">
      <c r="A16" s="1295" t="s">
        <v>6</v>
      </c>
      <c r="B16" s="1296">
        <v>592</v>
      </c>
      <c r="C16" s="327"/>
      <c r="D16" s="327"/>
      <c r="E16" s="327"/>
      <c r="F16" s="327"/>
    </row>
    <row r="17" spans="1:6">
      <c r="A17" s="1295" t="s">
        <v>7</v>
      </c>
      <c r="B17" s="1296">
        <v>611</v>
      </c>
      <c r="C17" s="327"/>
      <c r="D17" s="327"/>
      <c r="E17" s="327"/>
      <c r="F17" s="327"/>
    </row>
    <row r="18" spans="1:6">
      <c r="A18" s="1295" t="s">
        <v>8</v>
      </c>
      <c r="B18" s="1296">
        <v>792</v>
      </c>
      <c r="C18" s="327"/>
      <c r="D18" s="327"/>
      <c r="E18" s="327"/>
      <c r="F18" s="327"/>
    </row>
    <row r="19" spans="1:6">
      <c r="A19" s="1295" t="s">
        <v>9</v>
      </c>
      <c r="B19" s="1296">
        <v>690</v>
      </c>
      <c r="C19" s="327"/>
      <c r="D19" s="327"/>
      <c r="E19" s="327"/>
      <c r="F19" s="327"/>
    </row>
    <row r="20" spans="1:6">
      <c r="A20" s="1295" t="s">
        <v>10</v>
      </c>
      <c r="B20" s="1296">
        <v>542</v>
      </c>
      <c r="C20" s="327"/>
      <c r="D20" s="327"/>
      <c r="E20" s="327"/>
      <c r="F20" s="327"/>
    </row>
    <row r="21" spans="1:6">
      <c r="A21" s="1295" t="s">
        <v>11</v>
      </c>
      <c r="B21" s="1296">
        <v>361</v>
      </c>
      <c r="C21" s="327"/>
      <c r="D21" s="327"/>
      <c r="E21" s="327"/>
      <c r="F21" s="327"/>
    </row>
    <row r="22" spans="1:6">
      <c r="A22" s="1295" t="s">
        <v>12</v>
      </c>
      <c r="B22" s="1296">
        <v>9002</v>
      </c>
      <c r="C22" s="327"/>
      <c r="D22" s="327"/>
      <c r="E22" s="327"/>
      <c r="F22" s="327"/>
    </row>
    <row r="23" spans="1:6">
      <c r="A23" s="1295" t="s">
        <v>13</v>
      </c>
      <c r="B23" s="1296">
        <v>70</v>
      </c>
      <c r="C23" s="327"/>
      <c r="D23" s="327"/>
      <c r="E23" s="327"/>
      <c r="F23" s="327"/>
    </row>
    <row r="24" spans="1:6">
      <c r="A24" s="1295" t="s">
        <v>14</v>
      </c>
      <c r="B24" s="1296">
        <v>1</v>
      </c>
      <c r="C24" s="327"/>
      <c r="D24" s="327"/>
      <c r="E24" s="327"/>
      <c r="F24" s="327"/>
    </row>
    <row r="25" spans="1:6">
      <c r="A25" s="1295" t="s">
        <v>15</v>
      </c>
      <c r="B25" s="1296">
        <v>188</v>
      </c>
      <c r="C25" s="327"/>
      <c r="D25" s="327"/>
      <c r="E25" s="327"/>
      <c r="F25" s="327"/>
    </row>
    <row r="26" spans="1:6">
      <c r="A26" s="1295" t="s">
        <v>16</v>
      </c>
      <c r="B26" s="1296">
        <v>58</v>
      </c>
      <c r="C26" s="327"/>
      <c r="D26" s="327"/>
      <c r="E26" s="327"/>
      <c r="F26" s="327"/>
    </row>
    <row r="27" spans="1:6">
      <c r="A27" s="1295" t="s">
        <v>17</v>
      </c>
      <c r="B27" s="1296">
        <v>7</v>
      </c>
      <c r="C27" s="327"/>
      <c r="D27" s="327"/>
      <c r="E27" s="327"/>
      <c r="F27" s="327"/>
    </row>
    <row r="28" spans="1:6" s="44" customFormat="1">
      <c r="A28" s="1297" t="s">
        <v>18</v>
      </c>
      <c r="B28" s="1298">
        <v>0</v>
      </c>
      <c r="C28" s="333"/>
      <c r="D28" s="333"/>
      <c r="E28" s="333"/>
      <c r="F28" s="333"/>
    </row>
    <row r="29" spans="1:6">
      <c r="A29" s="1297" t="s">
        <v>961</v>
      </c>
      <c r="B29" s="1298">
        <v>168</v>
      </c>
      <c r="C29" s="333"/>
      <c r="D29" s="333"/>
      <c r="E29" s="333"/>
      <c r="F29" s="333"/>
    </row>
    <row r="30" spans="1:6">
      <c r="A30" s="1290" t="s">
        <v>962</v>
      </c>
      <c r="B30" s="1299">
        <v>50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11408.926521700399</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6084</v>
      </c>
    </row>
    <row r="39" spans="1:6">
      <c r="A39" s="1295" t="s">
        <v>29</v>
      </c>
      <c r="B39" s="1295" t="s">
        <v>30</v>
      </c>
      <c r="C39" s="1296">
        <v>7726</v>
      </c>
      <c r="D39" s="1296">
        <v>132061254.055084</v>
      </c>
      <c r="E39" s="1296">
        <v>10029</v>
      </c>
      <c r="F39" s="1296">
        <v>38634521.807071999</v>
      </c>
    </row>
    <row r="40" spans="1:6">
      <c r="A40" s="1295" t="s">
        <v>29</v>
      </c>
      <c r="B40" s="1295" t="s">
        <v>28</v>
      </c>
      <c r="C40" s="1296">
        <v>0</v>
      </c>
      <c r="D40" s="1296">
        <v>0</v>
      </c>
      <c r="E40" s="1296">
        <v>0</v>
      </c>
      <c r="F40" s="1296">
        <v>0</v>
      </c>
    </row>
    <row r="41" spans="1:6">
      <c r="A41" s="1295" t="s">
        <v>31</v>
      </c>
      <c r="B41" s="1295" t="s">
        <v>32</v>
      </c>
      <c r="C41" s="1296">
        <v>120</v>
      </c>
      <c r="D41" s="1296">
        <v>2919224.4518698002</v>
      </c>
      <c r="E41" s="1296">
        <v>246</v>
      </c>
      <c r="F41" s="1296">
        <v>1806618.61227904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10</v>
      </c>
      <c r="D44" s="1296">
        <v>164855.81218713999</v>
      </c>
      <c r="E44" s="1296">
        <v>27</v>
      </c>
      <c r="F44" s="1296">
        <v>1253059.61080902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72977.242885854706</v>
      </c>
      <c r="E47" s="1296">
        <v>8</v>
      </c>
      <c r="F47" s="1296">
        <v>94773.478218287404</v>
      </c>
    </row>
    <row r="48" spans="1:6">
      <c r="A48" s="1295" t="s">
        <v>31</v>
      </c>
      <c r="B48" s="1295" t="s">
        <v>28</v>
      </c>
      <c r="C48" s="1296">
        <v>35</v>
      </c>
      <c r="D48" s="1296">
        <v>8229726.3156519402</v>
      </c>
      <c r="E48" s="1296">
        <v>47</v>
      </c>
      <c r="F48" s="1296">
        <v>13430907.040139601</v>
      </c>
    </row>
    <row r="49" spans="1:6">
      <c r="A49" s="1295" t="s">
        <v>31</v>
      </c>
      <c r="B49" s="1295" t="s">
        <v>39</v>
      </c>
      <c r="C49" s="1296">
        <v>0</v>
      </c>
      <c r="D49" s="1296">
        <v>0</v>
      </c>
      <c r="E49" s="1296">
        <v>8</v>
      </c>
      <c r="F49" s="1296">
        <v>2522676.1178474599</v>
      </c>
    </row>
    <row r="50" spans="1:6">
      <c r="A50" s="1295" t="s">
        <v>31</v>
      </c>
      <c r="B50" s="1295" t="s">
        <v>40</v>
      </c>
      <c r="C50" s="1296">
        <v>9</v>
      </c>
      <c r="D50" s="1296">
        <v>354726.43065085501</v>
      </c>
      <c r="E50" s="1296">
        <v>17</v>
      </c>
      <c r="F50" s="1296">
        <v>826692.58653483505</v>
      </c>
    </row>
    <row r="51" spans="1:6">
      <c r="A51" s="1295" t="s">
        <v>41</v>
      </c>
      <c r="B51" s="1295" t="s">
        <v>42</v>
      </c>
      <c r="C51" s="1296">
        <v>13</v>
      </c>
      <c r="D51" s="1296">
        <v>43958188.917058699</v>
      </c>
      <c r="E51" s="1296">
        <v>102</v>
      </c>
      <c r="F51" s="1296">
        <v>2036295.4135233399</v>
      </c>
    </row>
    <row r="52" spans="1:6">
      <c r="A52" s="1295" t="s">
        <v>41</v>
      </c>
      <c r="B52" s="1295" t="s">
        <v>28</v>
      </c>
      <c r="C52" s="1296">
        <v>4</v>
      </c>
      <c r="D52" s="1296">
        <v>59839.110940441598</v>
      </c>
      <c r="E52" s="1296">
        <v>2</v>
      </c>
      <c r="F52" s="1296">
        <v>14504.619268521799</v>
      </c>
    </row>
    <row r="53" spans="1:6">
      <c r="A53" s="1295" t="s">
        <v>43</v>
      </c>
      <c r="B53" s="1295" t="s">
        <v>44</v>
      </c>
      <c r="C53" s="1296">
        <v>158</v>
      </c>
      <c r="D53" s="1296">
        <v>4350686.2649911502</v>
      </c>
      <c r="E53" s="1296">
        <v>245</v>
      </c>
      <c r="F53" s="1296">
        <v>1480960.27848211</v>
      </c>
    </row>
    <row r="54" spans="1:6">
      <c r="A54" s="1295" t="s">
        <v>45</v>
      </c>
      <c r="B54" s="1295" t="s">
        <v>46</v>
      </c>
      <c r="C54" s="1296">
        <v>0</v>
      </c>
      <c r="D54" s="1296">
        <v>0</v>
      </c>
      <c r="E54" s="1296">
        <v>1</v>
      </c>
      <c r="F54" s="1296">
        <v>1222031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47</v>
      </c>
      <c r="D57" s="1296">
        <v>1768535.2691741299</v>
      </c>
      <c r="E57" s="1296">
        <v>74</v>
      </c>
      <c r="F57" s="1296">
        <v>2125152.6579988701</v>
      </c>
    </row>
    <row r="58" spans="1:6">
      <c r="A58" s="1295" t="s">
        <v>48</v>
      </c>
      <c r="B58" s="1295" t="s">
        <v>50</v>
      </c>
      <c r="C58" s="1296">
        <v>33</v>
      </c>
      <c r="D58" s="1296">
        <v>1808223.4649078301</v>
      </c>
      <c r="E58" s="1296">
        <v>53</v>
      </c>
      <c r="F58" s="1296">
        <v>573077.07346686604</v>
      </c>
    </row>
    <row r="59" spans="1:6">
      <c r="A59" s="1295" t="s">
        <v>48</v>
      </c>
      <c r="B59" s="1295" t="s">
        <v>51</v>
      </c>
      <c r="C59" s="1296">
        <v>145</v>
      </c>
      <c r="D59" s="1296">
        <v>5060204.1464146404</v>
      </c>
      <c r="E59" s="1296">
        <v>278</v>
      </c>
      <c r="F59" s="1296">
        <v>6650537.9488184704</v>
      </c>
    </row>
    <row r="60" spans="1:6">
      <c r="A60" s="1295" t="s">
        <v>48</v>
      </c>
      <c r="B60" s="1295" t="s">
        <v>52</v>
      </c>
      <c r="C60" s="1296">
        <v>75</v>
      </c>
      <c r="D60" s="1296">
        <v>2725661.4526537498</v>
      </c>
      <c r="E60" s="1296">
        <v>92</v>
      </c>
      <c r="F60" s="1296">
        <v>1854702.41662968</v>
      </c>
    </row>
    <row r="61" spans="1:6">
      <c r="A61" s="1295" t="s">
        <v>48</v>
      </c>
      <c r="B61" s="1295" t="s">
        <v>53</v>
      </c>
      <c r="C61" s="1296">
        <v>185</v>
      </c>
      <c r="D61" s="1296">
        <v>10875446.653188899</v>
      </c>
      <c r="E61" s="1296">
        <v>390</v>
      </c>
      <c r="F61" s="1296">
        <v>4556701.5120580196</v>
      </c>
    </row>
    <row r="62" spans="1:6">
      <c r="A62" s="1295" t="s">
        <v>48</v>
      </c>
      <c r="B62" s="1295" t="s">
        <v>54</v>
      </c>
      <c r="C62" s="1296">
        <v>20</v>
      </c>
      <c r="D62" s="1296">
        <v>2446288.33105917</v>
      </c>
      <c r="E62" s="1296">
        <v>27</v>
      </c>
      <c r="F62" s="1296">
        <v>548893.55485643004</v>
      </c>
    </row>
    <row r="63" spans="1:6">
      <c r="A63" s="1295" t="s">
        <v>48</v>
      </c>
      <c r="B63" s="1295" t="s">
        <v>28</v>
      </c>
      <c r="C63" s="1296">
        <v>95</v>
      </c>
      <c r="D63" s="1296">
        <v>6434722.3681037799</v>
      </c>
      <c r="E63" s="1296">
        <v>97</v>
      </c>
      <c r="F63" s="1296">
        <v>2227578.2184541598</v>
      </c>
    </row>
    <row r="64" spans="1:6">
      <c r="A64" s="1295" t="s">
        <v>55</v>
      </c>
      <c r="B64" s="1295" t="s">
        <v>56</v>
      </c>
      <c r="C64" s="1296">
        <v>0</v>
      </c>
      <c r="D64" s="1296">
        <v>0</v>
      </c>
      <c r="E64" s="1296">
        <v>0</v>
      </c>
      <c r="F64" s="1296">
        <v>0</v>
      </c>
    </row>
    <row r="65" spans="1:6">
      <c r="A65" s="1295" t="s">
        <v>55</v>
      </c>
      <c r="B65" s="1295" t="s">
        <v>28</v>
      </c>
      <c r="C65" s="1296">
        <v>1</v>
      </c>
      <c r="D65" s="1296">
        <v>0</v>
      </c>
      <c r="E65" s="1296">
        <v>3</v>
      </c>
      <c r="F65" s="1296">
        <v>19802.284860181699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474192.758951856</v>
      </c>
      <c r="E68" s="1299">
        <v>17</v>
      </c>
      <c r="F68" s="1299">
        <v>436982.33661906997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56765392</v>
      </c>
      <c r="E73" s="447"/>
      <c r="F73" s="327"/>
    </row>
    <row r="74" spans="1:6">
      <c r="A74" s="1295" t="s">
        <v>63</v>
      </c>
      <c r="B74" s="1295" t="s">
        <v>755</v>
      </c>
      <c r="C74" s="1309" t="s">
        <v>749</v>
      </c>
      <c r="D74" s="1310">
        <v>6061964.685971682</v>
      </c>
      <c r="E74" s="447"/>
      <c r="F74" s="327"/>
    </row>
    <row r="75" spans="1:6">
      <c r="A75" s="1295" t="s">
        <v>64</v>
      </c>
      <c r="B75" s="1295" t="s">
        <v>754</v>
      </c>
      <c r="C75" s="1309" t="s">
        <v>750</v>
      </c>
      <c r="D75" s="1310">
        <v>42976646</v>
      </c>
      <c r="E75" s="447"/>
      <c r="F75" s="327"/>
    </row>
    <row r="76" spans="1:6">
      <c r="A76" s="1295" t="s">
        <v>64</v>
      </c>
      <c r="B76" s="1295" t="s">
        <v>755</v>
      </c>
      <c r="C76" s="1309" t="s">
        <v>751</v>
      </c>
      <c r="D76" s="1310">
        <v>649112.68597168231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341160.62805663544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7615.1509853031503</v>
      </c>
      <c r="C90" s="327"/>
      <c r="D90" s="327"/>
      <c r="E90" s="327"/>
      <c r="F90" s="327"/>
    </row>
    <row r="91" spans="1:6">
      <c r="A91" s="1295" t="s">
        <v>67</v>
      </c>
      <c r="B91" s="1296">
        <v>3253.5413829833988</v>
      </c>
      <c r="C91" s="327"/>
      <c r="D91" s="327"/>
      <c r="E91" s="327"/>
      <c r="F91" s="327"/>
    </row>
    <row r="92" spans="1:6">
      <c r="A92" s="1290" t="s">
        <v>68</v>
      </c>
      <c r="B92" s="1291">
        <v>1159.0143855465874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5114</v>
      </c>
      <c r="C97" s="327"/>
      <c r="D97" s="327"/>
      <c r="E97" s="327"/>
      <c r="F97" s="327"/>
    </row>
    <row r="98" spans="1:6">
      <c r="A98" s="1295" t="s">
        <v>71</v>
      </c>
      <c r="B98" s="1296">
        <v>0</v>
      </c>
      <c r="C98" s="327"/>
      <c r="D98" s="327"/>
      <c r="E98" s="327"/>
      <c r="F98" s="327"/>
    </row>
    <row r="99" spans="1:6">
      <c r="A99" s="1295" t="s">
        <v>72</v>
      </c>
      <c r="B99" s="1296">
        <v>68</v>
      </c>
      <c r="C99" s="327"/>
      <c r="D99" s="327"/>
      <c r="E99" s="327"/>
      <c r="F99" s="327"/>
    </row>
    <row r="100" spans="1:6">
      <c r="A100" s="1295" t="s">
        <v>73</v>
      </c>
      <c r="B100" s="1296">
        <v>557</v>
      </c>
      <c r="C100" s="327"/>
      <c r="D100" s="327"/>
      <c r="E100" s="327"/>
      <c r="F100" s="327"/>
    </row>
    <row r="101" spans="1:6">
      <c r="A101" s="1295" t="s">
        <v>74</v>
      </c>
      <c r="B101" s="1296">
        <v>137</v>
      </c>
      <c r="C101" s="327"/>
      <c r="D101" s="327"/>
      <c r="E101" s="327"/>
      <c r="F101" s="327"/>
    </row>
    <row r="102" spans="1:6">
      <c r="A102" s="1295" t="s">
        <v>75</v>
      </c>
      <c r="B102" s="1296">
        <v>190</v>
      </c>
      <c r="C102" s="327"/>
      <c r="D102" s="327"/>
      <c r="E102" s="327"/>
      <c r="F102" s="327"/>
    </row>
    <row r="103" spans="1:6">
      <c r="A103" s="1295" t="s">
        <v>76</v>
      </c>
      <c r="B103" s="1296">
        <v>369</v>
      </c>
      <c r="C103" s="327"/>
      <c r="D103" s="327"/>
      <c r="E103" s="327"/>
      <c r="F103" s="327"/>
    </row>
    <row r="104" spans="1:6">
      <c r="A104" s="1295" t="s">
        <v>77</v>
      </c>
      <c r="B104" s="1296">
        <v>2299</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57</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85123.490838730737</v>
      </c>
      <c r="C3" s="44" t="s">
        <v>169</v>
      </c>
      <c r="D3" s="44"/>
      <c r="E3" s="157"/>
      <c r="F3" s="44"/>
      <c r="G3" s="44"/>
      <c r="H3" s="44"/>
      <c r="I3" s="44"/>
      <c r="J3" s="44"/>
      <c r="K3" s="97"/>
    </row>
    <row r="4" spans="1:11">
      <c r="A4" s="354" t="s">
        <v>170</v>
      </c>
      <c r="B4" s="50">
        <f>IF(ISERROR('SEAP template'!B78+'SEAP template'!C78),0,'SEAP template'!B78+'SEAP template'!C78)</f>
        <v>25455.706753833136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3191.1247058823533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0.19239935800650876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4558.7495798319333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19182.857142857145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1222.0309999999999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1222.0309999999999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0.19239935800650876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235.1179798640519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38634.521807072</v>
      </c>
      <c r="C5" s="18">
        <f>IF(ISERROR('Eigen informatie GS &amp; warmtenet'!B57),0,'Eigen informatie GS &amp; warmtenet'!B57)</f>
        <v>0</v>
      </c>
      <c r="D5" s="31">
        <f>(SUM(HH_hh_gas_kWh,HH_rest_gas_kWh)/1000)*0.902</f>
        <v>119119.25115768577</v>
      </c>
      <c r="E5" s="18">
        <f>B32*B41</f>
        <v>1405.5237877735622</v>
      </c>
      <c r="F5" s="18">
        <f>B36*B45</f>
        <v>42850.339637819423</v>
      </c>
      <c r="G5" s="19"/>
      <c r="H5" s="18"/>
      <c r="I5" s="18"/>
      <c r="J5" s="18">
        <f>B35*B44+C35*C44</f>
        <v>777.504481705903</v>
      </c>
      <c r="K5" s="18"/>
      <c r="L5" s="18"/>
      <c r="M5" s="18"/>
      <c r="N5" s="18">
        <f>B34*B43+C34*C43</f>
        <v>13831.132994407282</v>
      </c>
      <c r="O5" s="18">
        <f>B52*B53*B54</f>
        <v>98.490000000000009</v>
      </c>
      <c r="P5" s="18">
        <f>B60*B61*B62/1000-B60*B61*B62/1000/B63</f>
        <v>209.73333333333335</v>
      </c>
    </row>
    <row r="6" spans="1:16">
      <c r="A6" s="17" t="s">
        <v>628</v>
      </c>
      <c r="B6" s="768">
        <f>kWh_PV_kleiner_dan_10kW</f>
        <v>3253.5413829833988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41888.0631900554</v>
      </c>
      <c r="C8" s="22">
        <f>C5</f>
        <v>0</v>
      </c>
      <c r="D8" s="22">
        <f>D5</f>
        <v>119119.25115768577</v>
      </c>
      <c r="E8" s="22">
        <f>E5</f>
        <v>1405.5237877735622</v>
      </c>
      <c r="F8" s="22">
        <f>F5</f>
        <v>42850.339637819423</v>
      </c>
      <c r="G8" s="22"/>
      <c r="H8" s="22"/>
      <c r="I8" s="22"/>
      <c r="J8" s="22">
        <f>J5</f>
        <v>777.504481705903</v>
      </c>
      <c r="K8" s="22"/>
      <c r="L8" s="22">
        <f>L5</f>
        <v>0</v>
      </c>
      <c r="M8" s="22">
        <f>M5</f>
        <v>0</v>
      </c>
      <c r="N8" s="22">
        <f>N5</f>
        <v>13831.132994407282</v>
      </c>
      <c r="O8" s="22">
        <f>O5</f>
        <v>98.490000000000009</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0.19239935800650876</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8059.2364659027298</v>
      </c>
      <c r="C12" s="24">
        <f ca="1">C10*C8</f>
        <v>0</v>
      </c>
      <c r="D12" s="24">
        <f>D8*D10</f>
        <v>24062.088733852524</v>
      </c>
      <c r="E12" s="24">
        <f>E10*E8</f>
        <v>319.0538998245986</v>
      </c>
      <c r="F12" s="24">
        <f>F10*F8</f>
        <v>11441.040683297786</v>
      </c>
      <c r="G12" s="24"/>
      <c r="H12" s="24"/>
      <c r="I12" s="24"/>
      <c r="J12" s="24">
        <f>J10*J8</f>
        <v>275.23658652388963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10053</v>
      </c>
      <c r="C26" s="37"/>
      <c r="D26" s="228"/>
    </row>
    <row r="27" spans="1:5" s="16" customFormat="1">
      <c r="A27" s="230" t="s">
        <v>654</v>
      </c>
      <c r="B27" s="38">
        <f>SUM(HH_hh_gas_aantal,HH_rest_gas_aantal)</f>
        <v>7726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7339.7</v>
      </c>
      <c r="C31" s="35" t="s">
        <v>110</v>
      </c>
      <c r="D31" s="174"/>
    </row>
    <row r="32" spans="1:5">
      <c r="A32" s="171" t="s">
        <v>72</v>
      </c>
      <c r="B32" s="34">
        <f>IF((B21*($B$26-($B$27-0.05*$B$27)-$B$60))&lt;0,0,B21*($B$26-($B$27-0.05*$B$27)-$B$60))</f>
        <v>66.409915794902886</v>
      </c>
      <c r="C32" s="35" t="s">
        <v>110</v>
      </c>
      <c r="D32" s="174"/>
    </row>
    <row r="33" spans="1:6">
      <c r="A33" s="171" t="s">
        <v>73</v>
      </c>
      <c r="B33" s="34">
        <f>IF((B22*($B$26-($B$27-0.05*$B$27)-$B$60))&lt;0,0,B22*($B$26-($B$27-0.05*$B$27)-$B$60))</f>
        <v>447.01662147254234</v>
      </c>
      <c r="C33" s="35" t="s">
        <v>110</v>
      </c>
      <c r="D33" s="174"/>
    </row>
    <row r="34" spans="1:6">
      <c r="A34" s="171" t="s">
        <v>74</v>
      </c>
      <c r="B34" s="34">
        <f>IF((B24*($B$26-($B$27-0.05*$B$27)-$B$60))&lt;0,0,B24*($B$26-($B$27-0.05*$B$27)-$B$60))</f>
        <v>113.37283746206303</v>
      </c>
      <c r="C34" s="34">
        <f>B26*C24</f>
        <v>2055.8619000571834</v>
      </c>
      <c r="D34" s="233"/>
    </row>
    <row r="35" spans="1:6">
      <c r="A35" s="171" t="s">
        <v>76</v>
      </c>
      <c r="B35" s="34">
        <f>IF((B19*($B$26-($B$27-0.05*$B$27)-$B$60))&lt;0,0,B19*($B$26-($B$27-0.05*$B$27)-$B$60))</f>
        <v>42.148433182999582</v>
      </c>
      <c r="C35" s="34">
        <f>B35/2</f>
        <v>21.074216591499791</v>
      </c>
      <c r="D35" s="233"/>
    </row>
    <row r="36" spans="1:6">
      <c r="A36" s="171" t="s">
        <v>77</v>
      </c>
      <c r="B36" s="34">
        <f>IF((B18*($B$26-($B$27-0.05*$B$27)-$B$60))&lt;0,0,B18*($B$26-($B$27-0.05*$B$27)-$B$60))</f>
        <v>2033.3521920874916</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18536.643382282495</v>
      </c>
      <c r="C5" s="18">
        <f>IF(ISERROR('Eigen informatie GS &amp; warmtenet'!B58),0,'Eigen informatie GS &amp; warmtenet'!B58)</f>
        <v>0</v>
      </c>
      <c r="D5" s="31">
        <f>SUM(D6:D12)</f>
        <v>28069.411680322984</v>
      </c>
      <c r="E5" s="18">
        <f>SUM(E6:E12)</f>
        <v>177.07721745068034</v>
      </c>
      <c r="F5" s="18">
        <f>SUM(F6:F12)</f>
        <v>3792.6805753595027</v>
      </c>
      <c r="G5" s="19"/>
      <c r="H5" s="18"/>
      <c r="I5" s="18"/>
      <c r="J5" s="18">
        <f>SUM(J6:J12)</f>
        <v>0</v>
      </c>
      <c r="K5" s="18"/>
      <c r="L5" s="18"/>
      <c r="M5" s="18"/>
      <c r="N5" s="18">
        <f>SUM(N6:N12)</f>
        <v>1413.3582277450287</v>
      </c>
      <c r="O5" s="18">
        <f>B38*B39*B40</f>
        <v>0</v>
      </c>
      <c r="P5" s="18">
        <f>B46*B47*B48/1000-B46*B47*B48/1000/B49</f>
        <v>0</v>
      </c>
      <c r="R5" s="33"/>
    </row>
    <row r="6" spans="1:18">
      <c r="A6" s="33" t="s">
        <v>53</v>
      </c>
      <c r="B6" s="38">
        <f>B26</f>
        <v>4556.7015120580199</v>
      </c>
      <c r="C6" s="34"/>
      <c r="D6" s="38">
        <f>IF(ISERROR(TER_kantoor_gas_kWh/1000),0,TER_kantoor_gas_kWh/1000)*0.902</f>
        <v>9809.6528811763874</v>
      </c>
      <c r="E6" s="34">
        <f>$C$26*'E Balans VL '!I12/100/3.6*1000000</f>
        <v>7.4784707146347138</v>
      </c>
      <c r="F6" s="34">
        <f>$C$26*('E Balans VL '!L12+'E Balans VL '!N12)/100/3.6*1000000</f>
        <v>537.1278949072348</v>
      </c>
      <c r="G6" s="35"/>
      <c r="H6" s="34"/>
      <c r="I6" s="34"/>
      <c r="J6" s="34">
        <f>$C$26*('E Balans VL '!D12+'E Balans VL '!E12)/100/3.6*1000000</f>
        <v>0</v>
      </c>
      <c r="K6" s="34"/>
      <c r="L6" s="34"/>
      <c r="M6" s="34"/>
      <c r="N6" s="34">
        <f>$C$26*'E Balans VL '!Y12/100/3.6*1000000</f>
        <v>0.92065996276314943</v>
      </c>
      <c r="O6" s="34"/>
      <c r="P6" s="34"/>
      <c r="R6" s="33"/>
    </row>
    <row r="7" spans="1:18">
      <c r="A7" s="33" t="s">
        <v>52</v>
      </c>
      <c r="B7" s="38">
        <f t="shared" ref="B7:B12" si="0">B27</f>
        <v>1854.7024166296799</v>
      </c>
      <c r="C7" s="34"/>
      <c r="D7" s="38">
        <f>IF(ISERROR(TER_horeca_gas_kWh/1000),0,TER_horeca_gas_kWh/1000)*0.902</f>
        <v>2458.546630293682</v>
      </c>
      <c r="E7" s="34">
        <f>$C$27*'E Balans VL '!I9/100/3.6*1000000</f>
        <v>96.245634509196819</v>
      </c>
      <c r="F7" s="34">
        <f>$C$27*('E Balans VL '!L9+'E Balans VL '!N9)/100/3.6*1000000</f>
        <v>423.24443725363648</v>
      </c>
      <c r="G7" s="35"/>
      <c r="H7" s="34"/>
      <c r="I7" s="34"/>
      <c r="J7" s="34">
        <f>$C$27*('E Balans VL '!D9+'E Balans VL '!E9)/100/3.6*1000000</f>
        <v>0</v>
      </c>
      <c r="K7" s="34"/>
      <c r="L7" s="34"/>
      <c r="M7" s="34"/>
      <c r="N7" s="34">
        <f>$C$27*'E Balans VL '!Y9/100/3.6*1000000</f>
        <v>0.19585572524163053</v>
      </c>
      <c r="O7" s="34"/>
      <c r="P7" s="34"/>
      <c r="R7" s="33"/>
    </row>
    <row r="8" spans="1:18">
      <c r="A8" s="6" t="s">
        <v>51</v>
      </c>
      <c r="B8" s="38">
        <f t="shared" si="0"/>
        <v>6650.5379488184708</v>
      </c>
      <c r="C8" s="34"/>
      <c r="D8" s="38">
        <f>IF(ISERROR(TER_handel_gas_kWh/1000),0,TER_handel_gas_kWh/1000)*0.902</f>
        <v>4564.3041400660059</v>
      </c>
      <c r="E8" s="34">
        <f>$C$28*'E Balans VL '!I13/100/3.6*1000000</f>
        <v>35.813964096881065</v>
      </c>
      <c r="F8" s="34">
        <f>$C$28*('E Balans VL '!L13+'E Balans VL '!N13)/100/3.6*1000000</f>
        <v>1356.2423239514735</v>
      </c>
      <c r="G8" s="35"/>
      <c r="H8" s="34"/>
      <c r="I8" s="34"/>
      <c r="J8" s="34">
        <f>$C$28*('E Balans VL '!D13+'E Balans VL '!E13)/100/3.6*1000000</f>
        <v>0</v>
      </c>
      <c r="K8" s="34"/>
      <c r="L8" s="34"/>
      <c r="M8" s="34"/>
      <c r="N8" s="34">
        <f>$C$28*'E Balans VL '!Y13/100/3.6*1000000</f>
        <v>33.069613171005706</v>
      </c>
      <c r="O8" s="34"/>
      <c r="P8" s="34"/>
      <c r="R8" s="33"/>
    </row>
    <row r="9" spans="1:18">
      <c r="A9" s="33" t="s">
        <v>50</v>
      </c>
      <c r="B9" s="38">
        <f t="shared" si="0"/>
        <v>573.07707346686607</v>
      </c>
      <c r="C9" s="34"/>
      <c r="D9" s="38">
        <f>IF(ISERROR(TER_gezond_gas_kWh/1000),0,TER_gezond_gas_kWh/1000)*0.902</f>
        <v>1631.0175653468627</v>
      </c>
      <c r="E9" s="34">
        <f>$C$29*'E Balans VL '!I10/100/3.6*1000000</f>
        <v>0.56792589681117234</v>
      </c>
      <c r="F9" s="34">
        <f>$C$29*('E Balans VL '!L10+'E Balans VL '!N10)/100/3.6*1000000</f>
        <v>198.84122618007427</v>
      </c>
      <c r="G9" s="35"/>
      <c r="H9" s="34"/>
      <c r="I9" s="34"/>
      <c r="J9" s="34">
        <f>$C$29*('E Balans VL '!D10+'E Balans VL '!E10)/100/3.6*1000000</f>
        <v>0</v>
      </c>
      <c r="K9" s="34"/>
      <c r="L9" s="34"/>
      <c r="M9" s="34"/>
      <c r="N9" s="34">
        <f>$C$29*'E Balans VL '!Y10/100/3.6*1000000</f>
        <v>4.9381554966351251</v>
      </c>
      <c r="O9" s="34"/>
      <c r="P9" s="34"/>
      <c r="R9" s="33"/>
    </row>
    <row r="10" spans="1:18">
      <c r="A10" s="33" t="s">
        <v>49</v>
      </c>
      <c r="B10" s="38">
        <f t="shared" si="0"/>
        <v>2125.1526579988699</v>
      </c>
      <c r="C10" s="34"/>
      <c r="D10" s="38">
        <f>IF(ISERROR(TER_ander_gas_kWh/1000),0,TER_ander_gas_kWh/1000)*0.902</f>
        <v>1595.2188127950653</v>
      </c>
      <c r="E10" s="34">
        <f>$C$30*'E Balans VL '!I14/100/3.6*1000000</f>
        <v>17.385872681250092</v>
      </c>
      <c r="F10" s="34">
        <f>$C$30*('E Balans VL '!L14+'E Balans VL '!N14)/100/3.6*1000000</f>
        <v>621.30811865086707</v>
      </c>
      <c r="G10" s="35"/>
      <c r="H10" s="34"/>
      <c r="I10" s="34"/>
      <c r="J10" s="34">
        <f>$C$30*('E Balans VL '!D14+'E Balans VL '!E14)/100/3.6*1000000</f>
        <v>0</v>
      </c>
      <c r="K10" s="34"/>
      <c r="L10" s="34"/>
      <c r="M10" s="34"/>
      <c r="N10" s="34">
        <f>$C$30*'E Balans VL '!Y14/100/3.6*1000000</f>
        <v>1225.9342400758885</v>
      </c>
      <c r="O10" s="34"/>
      <c r="P10" s="34"/>
      <c r="R10" s="33"/>
    </row>
    <row r="11" spans="1:18">
      <c r="A11" s="33" t="s">
        <v>54</v>
      </c>
      <c r="B11" s="38">
        <f t="shared" si="0"/>
        <v>548.89355485643</v>
      </c>
      <c r="C11" s="34"/>
      <c r="D11" s="38">
        <f>IF(ISERROR(TER_onderwijs_gas_kWh/1000),0,TER_onderwijs_gas_kWh/1000)*0.902</f>
        <v>2206.5520746153716</v>
      </c>
      <c r="E11" s="34">
        <f>$C$31*'E Balans VL '!I11/100/3.6*1000000</f>
        <v>0.3383148270950454</v>
      </c>
      <c r="F11" s="34">
        <f>$C$31*('E Balans VL '!L11+'E Balans VL '!N11)/100/3.6*1000000</f>
        <v>212.21113745710576</v>
      </c>
      <c r="G11" s="35"/>
      <c r="H11" s="34"/>
      <c r="I11" s="34"/>
      <c r="J11" s="34">
        <f>$C$31*('E Balans VL '!D11+'E Balans VL '!E11)/100/3.6*1000000</f>
        <v>0</v>
      </c>
      <c r="K11" s="34"/>
      <c r="L11" s="34"/>
      <c r="M11" s="34"/>
      <c r="N11" s="34">
        <f>$C$31*'E Balans VL '!Y11/100/3.6*1000000</f>
        <v>1.7854331085706325</v>
      </c>
      <c r="O11" s="34"/>
      <c r="P11" s="34"/>
      <c r="R11" s="33"/>
    </row>
    <row r="12" spans="1:18">
      <c r="A12" s="33" t="s">
        <v>255</v>
      </c>
      <c r="B12" s="38">
        <f t="shared" si="0"/>
        <v>2227.5782184541599</v>
      </c>
      <c r="C12" s="34"/>
      <c r="D12" s="38">
        <f>IF(ISERROR(TER_rest_gas_kWh/1000),0,TER_rest_gas_kWh/1000)*0.902</f>
        <v>5804.1195760296096</v>
      </c>
      <c r="E12" s="34">
        <f>$C$32*'E Balans VL '!I8/100/3.6*1000000</f>
        <v>19.247034724811424</v>
      </c>
      <c r="F12" s="34">
        <f>$C$32*('E Balans VL '!L8+'E Balans VL '!N8)/100/3.6*1000000</f>
        <v>443.7054369591105</v>
      </c>
      <c r="G12" s="35"/>
      <c r="H12" s="34"/>
      <c r="I12" s="34"/>
      <c r="J12" s="34">
        <f>$C$32*('E Balans VL '!D8+'E Balans VL '!E8)/100/3.6*1000000</f>
        <v>0</v>
      </c>
      <c r="K12" s="34"/>
      <c r="L12" s="34"/>
      <c r="M12" s="34"/>
      <c r="N12" s="34">
        <f>$C$32*'E Balans VL '!Y8/100/3.6*1000000</f>
        <v>146.51427020492395</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18536.643382282495</v>
      </c>
      <c r="C16" s="22">
        <f t="shared" ca="1" si="1"/>
        <v>0</v>
      </c>
      <c r="D16" s="22">
        <f t="shared" ca="1" si="1"/>
        <v>28069.411680322984</v>
      </c>
      <c r="E16" s="22">
        <f t="shared" si="1"/>
        <v>177.07721745068034</v>
      </c>
      <c r="F16" s="22">
        <f t="shared" ca="1" si="1"/>
        <v>3792.6805753595027</v>
      </c>
      <c r="G16" s="22">
        <f t="shared" si="1"/>
        <v>0</v>
      </c>
      <c r="H16" s="22">
        <f t="shared" si="1"/>
        <v>0</v>
      </c>
      <c r="I16" s="22">
        <f t="shared" si="1"/>
        <v>0</v>
      </c>
      <c r="J16" s="22">
        <f t="shared" si="1"/>
        <v>0</v>
      </c>
      <c r="K16" s="22">
        <f t="shared" si="1"/>
        <v>0</v>
      </c>
      <c r="L16" s="22">
        <f t="shared" ca="1" si="1"/>
        <v>0</v>
      </c>
      <c r="M16" s="22">
        <f t="shared" si="1"/>
        <v>0</v>
      </c>
      <c r="N16" s="22">
        <f t="shared" ca="1" si="1"/>
        <v>1413.3582277450287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0.19239935800650876</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3566.4382863467513</v>
      </c>
      <c r="C20" s="24">
        <f t="shared" ref="C20:P20" ca="1" si="2">C16*C18</f>
        <v>0</v>
      </c>
      <c r="D20" s="24">
        <f t="shared" ca="1" si="2"/>
        <v>5670.0211594252432</v>
      </c>
      <c r="E20" s="24">
        <f t="shared" si="2"/>
        <v>40.196528361304438</v>
      </c>
      <c r="F20" s="24">
        <f t="shared" ca="1" si="2"/>
        <v>1012.6457136209873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4556.7015120580199</v>
      </c>
      <c r="C26" s="40">
        <f>IF(ISERROR(B26*3.6/1000000/'E Balans VL '!Z12*100),0,B26*3.6/1000000/'E Balans VL '!Z12*100)</f>
        <v>9.6826639379121768E-2</v>
      </c>
      <c r="D26" s="236" t="s">
        <v>691</v>
      </c>
      <c r="F26" s="6"/>
    </row>
    <row r="27" spans="1:18">
      <c r="A27" s="231" t="s">
        <v>52</v>
      </c>
      <c r="B27" s="34">
        <f>IF(ISERROR(TER_horeca_ele_kWh/1000),0,TER_horeca_ele_kWh/1000)</f>
        <v>1854.7024166296799</v>
      </c>
      <c r="C27" s="40">
        <f>IF(ISERROR(B27*3.6/1000000/'E Balans VL '!Z9*100),0,B27*3.6/1000000/'E Balans VL '!Z9*100)</f>
        <v>0.14597942254034574</v>
      </c>
      <c r="D27" s="236" t="s">
        <v>691</v>
      </c>
      <c r="F27" s="6"/>
    </row>
    <row r="28" spans="1:18">
      <c r="A28" s="171" t="s">
        <v>51</v>
      </c>
      <c r="B28" s="34">
        <f>IF(ISERROR(TER_handel_ele_kWh/1000),0,TER_handel_ele_kWh/1000)</f>
        <v>6650.5379488184708</v>
      </c>
      <c r="C28" s="40">
        <f>IF(ISERROR(B28*3.6/1000000/'E Balans VL '!Z13*100),0,B28*3.6/1000000/'E Balans VL '!Z13*100)</f>
        <v>0.1862851271737983</v>
      </c>
      <c r="D28" s="236" t="s">
        <v>691</v>
      </c>
      <c r="F28" s="6"/>
    </row>
    <row r="29" spans="1:18">
      <c r="A29" s="231" t="s">
        <v>50</v>
      </c>
      <c r="B29" s="34">
        <f>IF(ISERROR(TER_gezond_ele_kWh/1000),0,TER_gezond_ele_kWh/1000)</f>
        <v>573.07707346686607</v>
      </c>
      <c r="C29" s="40">
        <f>IF(ISERROR(B29*3.6/1000000/'E Balans VL '!Z10*100),0,B29*3.6/1000000/'E Balans VL '!Z10*100)</f>
        <v>7.3313886849192711E-2</v>
      </c>
      <c r="D29" s="236" t="s">
        <v>691</v>
      </c>
      <c r="F29" s="6"/>
    </row>
    <row r="30" spans="1:18">
      <c r="A30" s="231" t="s">
        <v>49</v>
      </c>
      <c r="B30" s="34">
        <f>IF(ISERROR(TER_ander_ele_kWh/1000),0,TER_ander_ele_kWh/1000)</f>
        <v>2125.1526579988699</v>
      </c>
      <c r="C30" s="40">
        <f>IF(ISERROR(B30*3.6/1000000/'E Balans VL '!Z14*100),0,B30*3.6/1000000/'E Balans VL '!Z14*100)</f>
        <v>0.1589435119692062</v>
      </c>
      <c r="D30" s="236" t="s">
        <v>691</v>
      </c>
      <c r="F30" s="6"/>
    </row>
    <row r="31" spans="1:18">
      <c r="A31" s="231" t="s">
        <v>54</v>
      </c>
      <c r="B31" s="34">
        <f>IF(ISERROR(TER_onderwijs_ele_kWh/1000),0,TER_onderwijs_ele_kWh/1000)</f>
        <v>548.89355485643</v>
      </c>
      <c r="C31" s="40">
        <f>IF(ISERROR(B31*3.6/1000000/'E Balans VL '!Z11*100),0,B31*3.6/1000000/'E Balans VL '!Z11*100)</f>
        <v>0.11589958510682458</v>
      </c>
      <c r="D31" s="236" t="s">
        <v>691</v>
      </c>
    </row>
    <row r="32" spans="1:18">
      <c r="A32" s="231" t="s">
        <v>255</v>
      </c>
      <c r="B32" s="34">
        <f>IF(ISERROR(TER_rest_ele_kWh/1000),0,TER_rest_ele_kWh/1000)</f>
        <v>2227.5782184541599</v>
      </c>
      <c r="C32" s="40">
        <f>IF(ISERROR(B32*3.6/1000000/'E Balans VL '!Z8*100),0,B32*3.6/1000000/'E Balans VL '!Z8*100)</f>
        <v>1.8350638034078489E-2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19934.727445828241</v>
      </c>
      <c r="C5" s="18">
        <f>IF(ISERROR('Eigen informatie GS &amp; warmtenet'!B59),0,'Eigen informatie GS &amp; warmtenet'!B59)</f>
        <v>0</v>
      </c>
      <c r="D5" s="31">
        <f>SUM(D6:D15)</f>
        <v>10590.842248427522</v>
      </c>
      <c r="E5" s="18">
        <f>SUM(E6:E15)</f>
        <v>158.80880254197211</v>
      </c>
      <c r="F5" s="18">
        <f>SUM(F6:F15)</f>
        <v>4438.0171097830125</v>
      </c>
      <c r="G5" s="19"/>
      <c r="H5" s="18"/>
      <c r="I5" s="18"/>
      <c r="J5" s="18">
        <f>SUM(J6:J15)</f>
        <v>88.263450474706758</v>
      </c>
      <c r="K5" s="18"/>
      <c r="L5" s="18"/>
      <c r="M5" s="18"/>
      <c r="N5" s="18">
        <f>SUM(N6:N15)</f>
        <v>626.76068842664199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1253.0596108090199</v>
      </c>
      <c r="C8" s="34"/>
      <c r="D8" s="38">
        <f>IF( ISERROR(IND_metaal_Gas_kWH/1000),0,IND_metaal_Gas_kWH/1000)*0.902</f>
        <v>148.69994259280028</v>
      </c>
      <c r="E8" s="34">
        <f>C30*'E Balans VL '!I18/100/3.6*1000000</f>
        <v>11.411388058815035</v>
      </c>
      <c r="F8" s="34">
        <f>C30*'E Balans VL '!L18/100/3.6*1000000+C30*'E Balans VL '!N18/100/3.6*1000000</f>
        <v>165.26904676758454</v>
      </c>
      <c r="G8" s="35"/>
      <c r="H8" s="34"/>
      <c r="I8" s="34"/>
      <c r="J8" s="41">
        <f>C30*'E Balans VL '!D18/100/3.6*1000000+C30*'E Balans VL '!E18/100/3.6*1000000</f>
        <v>20.548358240226836</v>
      </c>
      <c r="K8" s="34"/>
      <c r="L8" s="34"/>
      <c r="M8" s="34"/>
      <c r="N8" s="34">
        <f>C30*'E Balans VL '!Y18/100/3.6*1000000</f>
        <v>4.3062681056971011</v>
      </c>
      <c r="O8" s="34"/>
      <c r="P8" s="34"/>
      <c r="R8" s="33"/>
    </row>
    <row r="9" spans="1:18">
      <c r="A9" s="6" t="s">
        <v>32</v>
      </c>
      <c r="B9" s="38">
        <f t="shared" si="0"/>
        <v>1806.61861227904</v>
      </c>
      <c r="C9" s="34"/>
      <c r="D9" s="38">
        <f>IF( ISERROR(IND_andere_gas_kWh/1000),0,IND_andere_gas_kWh/1000)*0.902</f>
        <v>2633.1404555865602</v>
      </c>
      <c r="E9" s="34">
        <f>C31*'E Balans VL '!I19/100/3.6*1000000</f>
        <v>10.442525555793869</v>
      </c>
      <c r="F9" s="34">
        <f>C31*'E Balans VL '!L19/100/3.6*1000000+C31*'E Balans VL '!N19/100/3.6*1000000</f>
        <v>1437.2520371156111</v>
      </c>
      <c r="G9" s="35"/>
      <c r="H9" s="34"/>
      <c r="I9" s="34"/>
      <c r="J9" s="41">
        <f>C31*'E Balans VL '!D19/100/3.6*1000000+C31*'E Balans VL '!E19/100/3.6*1000000</f>
        <v>0.17088605337043561</v>
      </c>
      <c r="K9" s="34"/>
      <c r="L9" s="34"/>
      <c r="M9" s="34"/>
      <c r="N9" s="34">
        <f>C31*'E Balans VL '!Y19/100/3.6*1000000</f>
        <v>136.87869999468137</v>
      </c>
      <c r="O9" s="34"/>
      <c r="P9" s="34"/>
      <c r="R9" s="33"/>
    </row>
    <row r="10" spans="1:18">
      <c r="A10" s="6" t="s">
        <v>40</v>
      </c>
      <c r="B10" s="38">
        <f t="shared" si="0"/>
        <v>826.69258653483507</v>
      </c>
      <c r="C10" s="34"/>
      <c r="D10" s="38">
        <f>IF( ISERROR(IND_voed_gas_kWh/1000),0,IND_voed_gas_kWh/1000)*0.902</f>
        <v>319.9632404470712</v>
      </c>
      <c r="E10" s="34">
        <f>C32*'E Balans VL '!I20/100/3.6*1000000</f>
        <v>8.1285508785345524</v>
      </c>
      <c r="F10" s="34">
        <f>C32*'E Balans VL '!L20/100/3.6*1000000+C32*'E Balans VL '!N20/100/3.6*1000000</f>
        <v>91.815002259046622</v>
      </c>
      <c r="G10" s="35"/>
      <c r="H10" s="34"/>
      <c r="I10" s="34"/>
      <c r="J10" s="41">
        <f>C32*'E Balans VL '!D20/100/3.6*1000000+C32*'E Balans VL '!E20/100/3.6*1000000</f>
        <v>3.2583707793856559E-3</v>
      </c>
      <c r="K10" s="34"/>
      <c r="L10" s="34"/>
      <c r="M10" s="34"/>
      <c r="N10" s="34">
        <f>C32*'E Balans VL '!Y20/100/3.6*1000000</f>
        <v>12.241372620642995</v>
      </c>
      <c r="O10" s="34"/>
      <c r="P10" s="34"/>
      <c r="R10" s="33"/>
    </row>
    <row r="11" spans="1:18">
      <c r="A11" s="6" t="s">
        <v>39</v>
      </c>
      <c r="B11" s="38">
        <f t="shared" si="0"/>
        <v>2522.6761178474599</v>
      </c>
      <c r="C11" s="34"/>
      <c r="D11" s="38">
        <f>IF( ISERROR(IND_textiel_gas_kWh/1000),0,IND_textiel_gas_kWh/1000)*0.902</f>
        <v>0</v>
      </c>
      <c r="E11" s="34">
        <f>C33*'E Balans VL '!I21/100/3.6*1000000</f>
        <v>4.9122361841138993</v>
      </c>
      <c r="F11" s="34">
        <f>C33*'E Balans VL '!L21/100/3.6*1000000+C33*'E Balans VL '!N21/100/3.6*1000000</f>
        <v>83.206136537326998</v>
      </c>
      <c r="G11" s="35"/>
      <c r="H11" s="34"/>
      <c r="I11" s="34"/>
      <c r="J11" s="41">
        <f>C33*'E Balans VL '!D21/100/3.6*1000000+C33*'E Balans VL '!E21/100/3.6*1000000</f>
        <v>0</v>
      </c>
      <c r="K11" s="34"/>
      <c r="L11" s="34"/>
      <c r="M11" s="34"/>
      <c r="N11" s="34">
        <f>C33*'E Balans VL '!Y21/100/3.6*1000000</f>
        <v>26.166786427522783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94.773478218287408</v>
      </c>
      <c r="C13" s="34"/>
      <c r="D13" s="38">
        <f>IF( ISERROR(IND_papier_gas_kWh/1000),0,IND_papier_gas_kWh/1000)*0.902</f>
        <v>65.825473083040947</v>
      </c>
      <c r="E13" s="34">
        <f>C35*'E Balans VL '!I23/100/3.6*1000000</f>
        <v>3.228122080774213</v>
      </c>
      <c r="F13" s="34">
        <f>C35*'E Balans VL '!L23/100/3.6*1000000+C35*'E Balans VL '!N23/100/3.6*1000000</f>
        <v>15.654354316006311</v>
      </c>
      <c r="G13" s="35"/>
      <c r="H13" s="34"/>
      <c r="I13" s="34"/>
      <c r="J13" s="41">
        <f>C35*'E Balans VL '!D23/100/3.6*1000000+C35*'E Balans VL '!E23/100/3.6*1000000</f>
        <v>0</v>
      </c>
      <c r="K13" s="34"/>
      <c r="L13" s="34"/>
      <c r="M13" s="34"/>
      <c r="N13" s="34">
        <f>C35*'E Balans VL '!Y23/100/3.6*1000000</f>
        <v>34.874098356671063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13430.9070401396</v>
      </c>
      <c r="C15" s="34"/>
      <c r="D15" s="38">
        <f>IF( ISERROR(IND_rest_gas_kWh/1000),0,IND_rest_gas_kWh/1000)*0.902</f>
        <v>7423.21313671805</v>
      </c>
      <c r="E15" s="34">
        <f>C37*'E Balans VL '!I15/100/3.6*1000000</f>
        <v>120.68597978394052</v>
      </c>
      <c r="F15" s="34">
        <f>C37*'E Balans VL '!L15/100/3.6*1000000+C37*'E Balans VL '!N15/100/3.6*1000000</f>
        <v>2644.8205327874371</v>
      </c>
      <c r="G15" s="35"/>
      <c r="H15" s="34"/>
      <c r="I15" s="34"/>
      <c r="J15" s="41">
        <f>C37*'E Balans VL '!D15/100/3.6*1000000+C37*'E Balans VL '!E15/100/3.6*1000000</f>
        <v>67.540947810330096</v>
      </c>
      <c r="K15" s="34"/>
      <c r="L15" s="34"/>
      <c r="M15" s="34"/>
      <c r="N15" s="34">
        <f>C37*'E Balans VL '!Y15/100/3.6*1000000</f>
        <v>412.29346292142662</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19934.727445828241</v>
      </c>
      <c r="C18" s="22">
        <f>C5+C16</f>
        <v>0</v>
      </c>
      <c r="D18" s="22">
        <f>MAX((D5+D16),0)</f>
        <v>10590.842248427522</v>
      </c>
      <c r="E18" s="22">
        <f>MAX((E5+E16),0)</f>
        <v>158.80880254197211</v>
      </c>
      <c r="F18" s="22">
        <f>MAX((F5+F16),0)</f>
        <v>4438.0171097830125</v>
      </c>
      <c r="G18" s="22"/>
      <c r="H18" s="22"/>
      <c r="I18" s="22"/>
      <c r="J18" s="22">
        <f>MAX((J5+J16),0)</f>
        <v>88.263450474706758</v>
      </c>
      <c r="K18" s="22"/>
      <c r="L18" s="22">
        <f>MAX((L5+L16),0)</f>
        <v>0</v>
      </c>
      <c r="M18" s="22"/>
      <c r="N18" s="22">
        <f>MAX((N5+N16),0)</f>
        <v>626.76068842664199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0.19239935800650876</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3835.4287626120836</v>
      </c>
      <c r="C22" s="24">
        <f ca="1">C18*C20</f>
        <v>0</v>
      </c>
      <c r="D22" s="24">
        <f>D18*D20</f>
        <v>2139.3501341823594</v>
      </c>
      <c r="E22" s="24">
        <f>E18*E20</f>
        <v>36.049598177027669</v>
      </c>
      <c r="F22" s="24">
        <f>F18*F20</f>
        <v>1184.9505683120644</v>
      </c>
      <c r="G22" s="24"/>
      <c r="H22" s="24"/>
      <c r="I22" s="24"/>
      <c r="J22" s="24">
        <f>J18*J20</f>
        <v>31.245261468046191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1253.0596108090199</v>
      </c>
      <c r="C30" s="40">
        <f>IF(ISERROR(B30*3.6/1000000/'E Balans VL '!Z18*100),0,B30*3.6/1000000/'E Balans VL '!Z18*100)</f>
        <v>6.9724388203795298E-2</v>
      </c>
      <c r="D30" s="236" t="s">
        <v>691</v>
      </c>
    </row>
    <row r="31" spans="1:18">
      <c r="A31" s="6" t="s">
        <v>32</v>
      </c>
      <c r="B31" s="38">
        <f>IF( ISERROR(IND_ander_ele_kWh/1000),0,IND_ander_ele_kWh/1000)</f>
        <v>1806.61861227904</v>
      </c>
      <c r="C31" s="40">
        <f>IF(ISERROR(B31*3.6/1000000/'E Balans VL '!Z19*100),0,B31*3.6/1000000/'E Balans VL '!Z19*100)</f>
        <v>8.3984954557483713E-2</v>
      </c>
      <c r="D31" s="236" t="s">
        <v>691</v>
      </c>
    </row>
    <row r="32" spans="1:18">
      <c r="A32" s="171" t="s">
        <v>40</v>
      </c>
      <c r="B32" s="38">
        <f>IF( ISERROR(IND_voed_ele_kWh/1000),0,IND_voed_ele_kWh/1000)</f>
        <v>826.69258653483507</v>
      </c>
      <c r="C32" s="40">
        <f>IF(ISERROR(B32*3.6/1000000/'E Balans VL '!Z20*100),0,B32*3.6/1000000/'E Balans VL '!Z20*100)</f>
        <v>2.9221913357620623E-2</v>
      </c>
      <c r="D32" s="236" t="s">
        <v>691</v>
      </c>
    </row>
    <row r="33" spans="1:5">
      <c r="A33" s="171" t="s">
        <v>39</v>
      </c>
      <c r="B33" s="38">
        <f>IF( ISERROR(IND_textiel_ele_kWh/1000),0,IND_textiel_ele_kWh/1000)</f>
        <v>2522.6761178474599</v>
      </c>
      <c r="C33" s="40">
        <f>IF(ISERROR(B33*3.6/1000000/'E Balans VL '!Z21*100),0,B33*3.6/1000000/'E Balans VL '!Z21*100)</f>
        <v>0.34072568864282565</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94.773478218287408</v>
      </c>
      <c r="C35" s="40">
        <f>IF(ISERROR(B35*3.6/1000000/'E Balans VL '!Z22*100),0,B35*3.6/1000000/'E Balans VL '!Z22*100)</f>
        <v>1.9046796600078759E-2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13430.9070401396</v>
      </c>
      <c r="C37" s="40">
        <f>IF(ISERROR(B37*3.6/1000000/'E Balans VL '!Z15*100),0,B37*3.6/1000000/'E Balans VL '!Z15*100)</f>
        <v>0.10142318860292526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2050.8000327918617</v>
      </c>
      <c r="C5" s="18">
        <f>'Eigen informatie GS &amp; warmtenet'!B60</f>
        <v>0</v>
      </c>
      <c r="D5" s="31">
        <f>IF(ISERROR(SUM(LB_lb_gas_kWh,LB_rest_gas_kWh)/1000),0,SUM(LB_lb_gas_kWh,LB_rest_gas_kWh)/1000)*0.902</f>
        <v>39704.261281255225</v>
      </c>
      <c r="E5" s="18">
        <f>B17*'E Balans VL '!I25/3.6*1000000/100</f>
        <v>19.319910389995425</v>
      </c>
      <c r="F5" s="18">
        <f>B17*('E Balans VL '!L25/3.6*1000000+'E Balans VL '!N25/3.6*1000000)/100</f>
        <v>6692.441107758149</v>
      </c>
      <c r="G5" s="19"/>
      <c r="H5" s="18"/>
      <c r="I5" s="18"/>
      <c r="J5" s="18">
        <f>('E Balans VL '!D25+'E Balans VL '!E25)/3.6*1000000*landbouw!B17/100</f>
        <v>253.69393914579666</v>
      </c>
      <c r="K5" s="18"/>
      <c r="L5" s="18">
        <f>L6*(-1)</f>
        <v>0</v>
      </c>
      <c r="M5" s="18"/>
      <c r="N5" s="18">
        <f>N6*(-1)</f>
        <v>0</v>
      </c>
      <c r="O5" s="18"/>
      <c r="P5" s="18"/>
      <c r="R5" s="33"/>
    </row>
    <row r="6" spans="1:18">
      <c r="A6" s="17" t="s">
        <v>495</v>
      </c>
      <c r="B6" s="18" t="s">
        <v>210</v>
      </c>
      <c r="C6" s="18">
        <f>'lokale energieproductie'!O40+'lokale energieproductie'!O33</f>
        <v>19182.857142857145</v>
      </c>
      <c r="D6" s="305">
        <f>('lokale energieproductie'!P33+'lokale energieproductie'!P40)*(-1)</f>
        <v>-38365.71428571429</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2050.8000327918617</v>
      </c>
      <c r="C8" s="22">
        <f>C5+C6</f>
        <v>19182.857142857145</v>
      </c>
      <c r="D8" s="22">
        <f>MAX((D5+D6),0)</f>
        <v>1338.5469955409353</v>
      </c>
      <c r="E8" s="22">
        <f>MAX((E5+E6),0)</f>
        <v>19.319910389995425</v>
      </c>
      <c r="F8" s="22">
        <f>MAX((F5+F6),0)</f>
        <v>6692.441107758149</v>
      </c>
      <c r="G8" s="22"/>
      <c r="H8" s="22"/>
      <c r="I8" s="22"/>
      <c r="J8" s="22">
        <f>MAX((J5+J6),0)</f>
        <v>253.69393914579666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0.19239935800650876</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394.57260970888132</v>
      </c>
      <c r="C12" s="24">
        <f ca="1">C8*C10</f>
        <v>4558.7495798319333</v>
      </c>
      <c r="D12" s="24">
        <f>D8*D10</f>
        <v>270.38649309926893</v>
      </c>
      <c r="E12" s="24">
        <f>E8*E10</f>
        <v>4.3856196585289613</v>
      </c>
      <c r="F12" s="24">
        <f>F8*F10</f>
        <v>1786.881775771426</v>
      </c>
      <c r="G12" s="24"/>
      <c r="H12" s="24"/>
      <c r="I12" s="24"/>
      <c r="J12" s="24">
        <f>J8*J10</f>
        <v>89.807654457612017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0.2776455537030752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214.03012141877036</v>
      </c>
      <c r="C26" s="246">
        <f>B26*'GWP N2O_CH4'!B5</f>
        <v>4494.632549794178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72.413380729275275</v>
      </c>
      <c r="C27" s="246">
        <f>B27*'GWP N2O_CH4'!B5</f>
        <v>1520.6809953147808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3.3069095002294158</v>
      </c>
      <c r="C28" s="246">
        <f>B28*'GWP N2O_CH4'!B4</f>
        <v>1025.1419450711189</v>
      </c>
      <c r="D28" s="51"/>
    </row>
    <row r="29" spans="1:4">
      <c r="A29" s="42" t="s">
        <v>272</v>
      </c>
      <c r="B29" s="246">
        <f>B34*'ha_N2O bodem landbouw'!B4</f>
        <v>8.9017988745827132</v>
      </c>
      <c r="C29" s="246">
        <f>B29*'GWP N2O_CH4'!B4</f>
        <v>2759.5576511206409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2.4032054651334195E-3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1.4663017754646364E-5</v>
      </c>
      <c r="C5" s="435" t="s">
        <v>210</v>
      </c>
      <c r="D5" s="420">
        <f>SUM(D6:D11)</f>
        <v>2.1266514172362479E-5</v>
      </c>
      <c r="E5" s="420">
        <f>SUM(E6:E11)</f>
        <v>1.3388698781787089E-3</v>
      </c>
      <c r="F5" s="433" t="s">
        <v>210</v>
      </c>
      <c r="G5" s="420">
        <f>SUM(G6:G11)</f>
        <v>0.26891276767719391</v>
      </c>
      <c r="H5" s="420">
        <f>SUM(H6:H11)</f>
        <v>5.0512867529387356E-2</v>
      </c>
      <c r="I5" s="435" t="s">
        <v>210</v>
      </c>
      <c r="J5" s="435" t="s">
        <v>210</v>
      </c>
      <c r="K5" s="435" t="s">
        <v>210</v>
      </c>
      <c r="L5" s="435" t="s">
        <v>210</v>
      </c>
      <c r="M5" s="420">
        <f>SUM(M6:M11)</f>
        <v>1.4279218791438047E-2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7.9700492311445262E-6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9.2825686738650172E-6</v>
      </c>
      <c r="E6" s="423">
        <f>vkm_GW_PW*SUMIFS(TableVerdeelsleutelVkm[LPG],TableVerdeelsleutelVkm[Voertuigtype],"Lichte voertuigen")*SUMIFS(TableECFTransport[EnergieConsumptieFactor (PJ per km)],TableECFTransport[Index],CONCATENATE($A6,"_LPG_LPG"))</f>
        <v>6.0222920208484671E-4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9.3959078017315872E-2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2.2644122936293129E-2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5.2180008364178191E-3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3.5483542444727833E-7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5.8697610013038207E-2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1.5750660418527099E-6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2.611852163176968E-3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6.3001374677085233E-6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1.198394549849746E-5</v>
      </c>
      <c r="E8" s="423">
        <f>vkm_NGW_PW*SUMIFS(TableVerdeelsleutelVkm[LPG],TableVerdeelsleutelVkm[Voertuigtype],"Lichte voertuigen")*SUMIFS(TableECFTransport[EnergieConsumptieFactor (PJ per km)],TableECFTransport[Index],CONCATENATE($A8,"_LPG_LPG"))</f>
        <v>7.366406760938621E-4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0.10819613353647441</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2.7866965953240234E-2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6.090725064848799E-3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3.799563134603697E-8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8.0599461103654131E-3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2.0357381213914928E-7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3.5864072699446216E-4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4.0730604874017677</v>
      </c>
      <c r="C14" s="22"/>
      <c r="D14" s="22">
        <f t="shared" ref="D14:M14" si="0">((D5)*10^9/3600)+D12</f>
        <v>5.9073650478784669</v>
      </c>
      <c r="E14" s="22">
        <f t="shared" si="0"/>
        <v>371.90829949408584</v>
      </c>
      <c r="F14" s="22"/>
      <c r="G14" s="22">
        <f t="shared" si="0"/>
        <v>74697.991021442751</v>
      </c>
      <c r="H14" s="22">
        <f t="shared" si="0"/>
        <v>14031.352091496488</v>
      </c>
      <c r="I14" s="22"/>
      <c r="J14" s="22"/>
      <c r="K14" s="22"/>
      <c r="L14" s="22"/>
      <c r="M14" s="22">
        <f t="shared" si="0"/>
        <v>3966.4496642883464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0.19239935800650876</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0.78365422289777775</v>
      </c>
      <c r="C18" s="24"/>
      <c r="D18" s="24">
        <f t="shared" ref="D18:M18" si="1">D14*D16</f>
        <v>1.1932877396714503</v>
      </c>
      <c r="E18" s="24">
        <f t="shared" si="1"/>
        <v>84.423183985157493</v>
      </c>
      <c r="F18" s="24"/>
      <c r="G18" s="24">
        <f t="shared" si="1"/>
        <v>19944.363602725214</v>
      </c>
      <c r="H18" s="24">
        <f t="shared" si="1"/>
        <v>3493.8066707826256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2.2292815691584284E-5</v>
      </c>
      <c r="C50" s="316">
        <f t="shared" ref="C50:P50" si="2">SUM(C51:C52)</f>
        <v>0</v>
      </c>
      <c r="D50" s="316">
        <f t="shared" si="2"/>
        <v>0</v>
      </c>
      <c r="E50" s="316">
        <f t="shared" si="2"/>
        <v>0</v>
      </c>
      <c r="F50" s="316">
        <f t="shared" si="2"/>
        <v>0</v>
      </c>
      <c r="G50" s="316">
        <f t="shared" si="2"/>
        <v>4.4463460414294114E-3</v>
      </c>
      <c r="H50" s="316">
        <f t="shared" si="2"/>
        <v>0</v>
      </c>
      <c r="I50" s="316">
        <f t="shared" si="2"/>
        <v>0</v>
      </c>
      <c r="J50" s="316">
        <f t="shared" si="2"/>
        <v>0</v>
      </c>
      <c r="K50" s="316">
        <f t="shared" si="2"/>
        <v>0</v>
      </c>
      <c r="L50" s="316">
        <f t="shared" si="2"/>
        <v>0</v>
      </c>
      <c r="M50" s="316">
        <f t="shared" si="2"/>
        <v>1.9652375940681818E-4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2.2292815691584284E-5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4.4463460414294114E-3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1.9652375940681818E-4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6.1924488032178573</v>
      </c>
      <c r="C54" s="22">
        <f t="shared" ref="C54:P54" si="3">(C50)*10^9/3600</f>
        <v>0</v>
      </c>
      <c r="D54" s="22">
        <f t="shared" si="3"/>
        <v>0</v>
      </c>
      <c r="E54" s="22">
        <f t="shared" si="3"/>
        <v>0</v>
      </c>
      <c r="F54" s="22">
        <f t="shared" si="3"/>
        <v>0</v>
      </c>
      <c r="G54" s="22">
        <f t="shared" si="3"/>
        <v>1235.096122619281</v>
      </c>
      <c r="H54" s="22">
        <f t="shared" si="3"/>
        <v>0</v>
      </c>
      <c r="I54" s="22">
        <f t="shared" si="3"/>
        <v>0</v>
      </c>
      <c r="J54" s="22">
        <f t="shared" si="3"/>
        <v>0</v>
      </c>
      <c r="K54" s="22">
        <f t="shared" si="3"/>
        <v>0</v>
      </c>
      <c r="L54" s="22">
        <f t="shared" si="3"/>
        <v>0</v>
      </c>
      <c r="M54" s="22">
        <f t="shared" si="3"/>
        <v>54.589933168560606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0.19239935800650876</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1.1914231742272892</v>
      </c>
      <c r="C58" s="24">
        <f t="shared" ref="C58:P58" ca="1" si="4">C54*C56</f>
        <v>0</v>
      </c>
      <c r="D58" s="24">
        <f t="shared" si="4"/>
        <v>0</v>
      </c>
      <c r="E58" s="24">
        <f t="shared" si="4"/>
        <v>0</v>
      </c>
      <c r="F58" s="24">
        <f t="shared" si="4"/>
        <v>0</v>
      </c>
      <c r="G58" s="24">
        <f t="shared" si="4"/>
        <v>329.77066473934804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7615.1509853031503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4412.5557685299864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13428</v>
      </c>
      <c r="C8" s="546">
        <f>B49</f>
        <v>15797.64705882353</v>
      </c>
      <c r="D8" s="969"/>
      <c r="E8" s="969">
        <f>E49</f>
        <v>0</v>
      </c>
      <c r="F8" s="970"/>
      <c r="G8" s="547"/>
      <c r="H8" s="969">
        <f>I49</f>
        <v>0</v>
      </c>
      <c r="I8" s="969">
        <f>G49+F49</f>
        <v>0</v>
      </c>
      <c r="J8" s="969">
        <f>H49+D49+C49</f>
        <v>0</v>
      </c>
      <c r="K8" s="969"/>
      <c r="L8" s="969"/>
      <c r="M8" s="969"/>
      <c r="N8" s="548"/>
      <c r="O8" s="549">
        <f>C8*$C$12+D8*$D$12+E8*$E$12+F8*$F$12+G8*$G$12+H8*$H$12+I8*$I$12+J8*$J$12</f>
        <v>3191.1247058823533</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25455.706753833136</v>
      </c>
      <c r="C10" s="558">
        <f t="shared" ref="C10:L10" si="0">SUM(C8:C9)</f>
        <v>15797.64705882353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3191.1247058823533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19182.857142857145</v>
      </c>
      <c r="C17" s="570">
        <f>B50</f>
        <v>22568.067226890758</v>
      </c>
      <c r="D17" s="571"/>
      <c r="E17" s="571">
        <f>E50</f>
        <v>0</v>
      </c>
      <c r="F17" s="572"/>
      <c r="G17" s="573"/>
      <c r="H17" s="570">
        <f>I50</f>
        <v>0</v>
      </c>
      <c r="I17" s="571">
        <f>G50+F50</f>
        <v>0</v>
      </c>
      <c r="J17" s="571">
        <f>H50+D50+C50</f>
        <v>0</v>
      </c>
      <c r="K17" s="571"/>
      <c r="L17" s="571"/>
      <c r="M17" s="571"/>
      <c r="N17" s="976"/>
      <c r="O17" s="574">
        <f>C17*$C$22+E17*$E$22+H17*$H$22+I17*$I$22+J17*$J$22+D17*$D$22+F17*$F$22+G17*$G$22+K17*$K$22+L17*$L$22</f>
        <v>4558.7495798319333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19182.857142857145</v>
      </c>
      <c r="C20" s="557">
        <f>SUM(C17:C19)</f>
        <v>22568.067226890758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4558.7495798319333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42008</v>
      </c>
      <c r="C28" s="777">
        <v>9220</v>
      </c>
      <c r="D28" s="630" t="s">
        <v>965</v>
      </c>
      <c r="E28" s="629" t="s">
        <v>966</v>
      </c>
      <c r="F28" s="629" t="s">
        <v>967</v>
      </c>
      <c r="G28" s="629" t="s">
        <v>968</v>
      </c>
      <c r="H28" s="629" t="s">
        <v>969</v>
      </c>
      <c r="I28" s="629" t="s">
        <v>966</v>
      </c>
      <c r="J28" s="776">
        <v>40113</v>
      </c>
      <c r="K28" s="776">
        <v>40113</v>
      </c>
      <c r="L28" s="629" t="s">
        <v>970</v>
      </c>
      <c r="M28" s="629">
        <v>1400</v>
      </c>
      <c r="N28" s="629">
        <v>6300</v>
      </c>
      <c r="O28" s="629">
        <v>9000</v>
      </c>
      <c r="P28" s="629">
        <v>18000</v>
      </c>
      <c r="Q28" s="629">
        <v>0</v>
      </c>
      <c r="R28" s="629">
        <v>0</v>
      </c>
      <c r="S28" s="629">
        <v>0</v>
      </c>
      <c r="T28" s="629">
        <v>0</v>
      </c>
      <c r="U28" s="629">
        <v>0</v>
      </c>
      <c r="V28" s="629">
        <v>0</v>
      </c>
      <c r="W28" s="629"/>
      <c r="X28" s="629">
        <v>10</v>
      </c>
      <c r="Y28" s="629" t="s">
        <v>111</v>
      </c>
      <c r="Z28" s="631" t="s">
        <v>111</v>
      </c>
    </row>
    <row r="29" spans="1:26" s="583" customFormat="1" ht="25.5">
      <c r="A29" s="582"/>
      <c r="B29" s="777">
        <v>42008</v>
      </c>
      <c r="C29" s="777">
        <v>9220</v>
      </c>
      <c r="D29" s="630" t="s">
        <v>971</v>
      </c>
      <c r="E29" s="629" t="s">
        <v>972</v>
      </c>
      <c r="F29" s="629" t="s">
        <v>973</v>
      </c>
      <c r="G29" s="629" t="s">
        <v>968</v>
      </c>
      <c r="H29" s="629" t="s">
        <v>969</v>
      </c>
      <c r="I29" s="629" t="s">
        <v>974</v>
      </c>
      <c r="J29" s="776">
        <v>41092</v>
      </c>
      <c r="K29" s="776">
        <v>38534</v>
      </c>
      <c r="L29" s="629" t="s">
        <v>970</v>
      </c>
      <c r="M29" s="629">
        <v>1584</v>
      </c>
      <c r="N29" s="629">
        <v>7128</v>
      </c>
      <c r="O29" s="629">
        <v>10182.857142857143</v>
      </c>
      <c r="P29" s="629">
        <v>20365.714285714286</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2984</v>
      </c>
      <c r="N30" s="587">
        <f>SUM(N28:N29)</f>
        <v>13428</v>
      </c>
      <c r="O30" s="587">
        <f>SUM(O28:O29)</f>
        <v>19182.857142857145</v>
      </c>
      <c r="P30" s="587">
        <f>SUM(P28:P29)</f>
        <v>38365.71428571429</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2984</v>
      </c>
      <c r="N33" s="592">
        <f>SUMIF($Z$28:$Z$29,"landbouw",N28:N29)</f>
        <v>13428</v>
      </c>
      <c r="O33" s="592">
        <f>SUMIF($Z$28:$Z$29,"landbouw",O28:O29)</f>
        <v>19182.857142857145</v>
      </c>
      <c r="P33" s="592">
        <f>SUMIF($Z$28:$Z$29,"landbouw",P28:P29)</f>
        <v>38365.71428571429</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15797.64705882353</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22568.067226890758</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2021-06-29T16:45:49Z</dcterms:modified>
</cp:coreProperties>
</file>