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<sst xmlns="http://schemas.openxmlformats.org/spreadsheetml/2006/main" count="2574" uniqueCount="972">
  <si>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</si>
  <si>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</si>
  <si>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</si>
  <si>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</si>
  <si>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</si>
  <si>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</si>
  <si>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</si>
  <si>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</si>
  <si>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</si>
  <si>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</si>
  <si>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</si>
  <si>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</si>
  <si>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</si>
  <si>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</si>
  <si>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</si>
  <si>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</si>
  <si>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</si>
  <si>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</si>
  <si>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</si>
  <si>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</si>
  <si>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</si>
  <si>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</si>
  <si>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</si>
  <si>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</si>
  <si>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</si>
  <si>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</si>
  <si>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</si>
  <si>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</si>
  <si>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</si>
  <si>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</si>
  <si>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</si>
  <si>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</si>
  <si>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</si>
  <si>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</si>
  <si>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</si>
  <si>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</si>
  <si>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</si>
  <si>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</si>
  <si>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</si>
  <si>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</si>
  <si>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</si>
  <si>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</si>
  <si>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</si>
  <si>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</si>
  <si>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</si>
  <si>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</si>
  <si>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</si>
  <si>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</si>
  <si>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</si>
  <si>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</si>
  <si>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</si>
  <si>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</si>
  <si>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</si>
  <si>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</si>
  <si>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</si>
  <si>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</si>
  <si>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</si>
  <si>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</si>
  <si>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</si>
  <si>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</si>
  <si>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</si>
  <si>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</si>
  <si>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</si>
  <si>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</si>
  <si>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</si>
  <si>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</si>
  <si>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</si>
  <si>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</si>
  <si>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</si>
  <si>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</si>
  <si>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</si>
  <si>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</si>
  <si>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</si>
  <si>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</si>
  <si>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</si>
  <si>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</si>
  <si>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</si>
  <si>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</si>
  <si>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</si>
  <si>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</si>
  <si>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</si>
  <si>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</si>
  <si>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</si>
  <si>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</si>
  <si>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</si>
  <si>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</si>
  <si>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</si>
  <si>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</si>
  <si>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</si>
  <si>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</si>
  <si>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</si>
  <si>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</si>
  <si>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</si>
  <si>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</si>
  <si>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</si>
  <si>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</si>
  <si>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</si>
  <si>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</si>
  <si>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</si>
  <si>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</si>
  <si>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</si>
  <si>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</si>
  <si>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</si>
  <si>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</si>
  <si>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</si>
  <si>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</si>
  <si>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</si>
  <si>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</si>
  <si>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</si>
  <si>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</si>
  <si>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</si>
  <si>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</si>
  <si>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</si>
  <si>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</si>
  <si>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</si>
  <si>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</si>
  <si>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</si>
  <si>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</si>
  <si>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</si>
  <si>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</si>
  <si>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</si>
  <si>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</si>
  <si>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</si>
  <si>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</si>
  <si>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</si>
  <si>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</si>
  <si>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</si>
  <si>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</si>
  <si>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</si>
  <si>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</si>
  <si>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</si>
  <si>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</si>
  <si>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</si>
  <si>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</si>
  <si>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</si>
  <si>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</si>
  <si>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</si>
  <si>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</si>
  <si>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</si>
  <si>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</si>
  <si>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</si>
  <si>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</si>
  <si>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</si>
  <si>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</si>
  <si>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</si>
  <si>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</si>
  <si>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</si>
  <si>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</si>
  <si>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</si>
  <si>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</si>
  <si>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</si>
  <si>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</si>
  <si>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</si>
  <si>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</si>
  <si>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</si>
  <si>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</si>
  <si>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</si>
  <si>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</si>
  <si>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</si>
  <si>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</si>
  <si>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</si>
  <si>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</si>
  <si>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</si>
  <si>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</si>
  <si>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</si>
  <si>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</si>
  <si>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</si>
  <si>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</si>
  <si>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</si>
  <si>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</si>
  <si>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</si>
  <si>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</si>
  <si>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</si>
  <si>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</si>
  <si>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</si>
  <si>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</si>
  <si>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</si>
  <si>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</si>
  <si>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</si>
  <si>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</si>
  <si>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</si>
  <si>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</si>
  <si>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</si>
  <si>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</si>
  <si>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</si>
  <si>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</si>
  <si>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</si>
  <si>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</si>
  <si>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</si>
  <si>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</si>
  <si>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</si>
  <si>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</si>
  <si>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</si>
  <si>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</si>
  <si>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</si>
  <si>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</si>
  <si>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</si>
  <si>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</si>
  <si>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</si>
  <si>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</si>
  <si>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</si>
  <si>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</si>
  <si>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</si>
  <si>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</si>
  <si>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</si>
  <si>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</si>
  <si>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</si>
  <si>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</si>
  <si>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</si>
  <si>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</si>
  <si>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</si>
  <si>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</si>
  <si>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</si>
  <si>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</si>
  <si>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</si>
  <si>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</si>
  <si>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</si>
  <si>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</si>
  <si>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</si>
  <si>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</si>
  <si>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</si>
  <si>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</si>
  <si>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</si>
  <si>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</si>
  <si>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</si>
  <si>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</si>
  <si>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</si>
  <si>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</si>
  <si>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</si>
  <si>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</si>
  <si>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</si>
  <si>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</si>
  <si>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</si>
  <si>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</si>
  <si>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</si>
  <si>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</si>
  <si>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</si>
  <si>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</si>
  <si>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</si>
  <si>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</si>
  <si>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</si>
  <si>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</si>
  <si>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</si>
  <si>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</si>
  <si>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</si>
  <si>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</si>
  <si>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</si>
  <si>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</si>
  <si>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</si>
  <si>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</si>
  <si>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</si>
  <si>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</si>
  <si>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</si>
  <si>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</si>
  <si>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</si>
  <si>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</si>
  <si>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</si>
  <si>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</si>
  <si>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</si>
  <si>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</si>
  <si>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</si>
  <si>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</si>
  <si>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</si>
  <si>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</si>
  <si>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</si>
  <si>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</si>
  <si>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</si>
  <si>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</si>
  <si>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</si>
  <si>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</si>
  <si>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</si>
  <si>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</si>
  <si>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</si>
  <si>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</si>
  <si>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</si>
  <si>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</si>
  <si>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</si>
  <si>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</si>
  <si>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</si>
  <si>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</si>
  <si>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</si>
  <si>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</si>
  <si>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</si>
  <si>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</si>
  <si>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</si>
  <si>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</si>
  <si>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</si>
  <si>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</si>
  <si>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</si>
  <si>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</si>
  <si>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</si>
  <si>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</si>
  <si>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</si>
  <si>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</si>
  <si>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</si>
  <si>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</si>
  <si>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</si>
  <si>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</si>
  <si>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</si>
  <si>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</si>
  <si>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</si>
  <si>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</si>
  <si>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</si>
  <si>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</si>
  <si>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</si>
  <si>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</si>
  <si>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</si>
  <si>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</si>
  <si>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</si>
  <si>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</si>
  <si>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</si>
  <si>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</si>
  <si>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</si>
  <si>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</si>
  <si>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</si>
  <si>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</si>
  <si>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</si>
  <si>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</si>
  <si>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</si>
  <si>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</si>
  <si>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</si>
  <si>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</si>
  <si>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</si>
  <si>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</si>
  <si>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</si>
  <si>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</si>
  <si>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</si>
  <si>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</si>
  <si>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</si>
  <si>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</si>
  <si>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</si>
  <si>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</si>
  <si>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</si>
  <si>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</si>
  <si>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</si>
  <si>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</si>
  <si>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</si>
  <si>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</si>
  <si>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</si>
  <si>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</si>
  <si>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</si>
  <si>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</si>
  <si>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</si>
  <si>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</si>
  <si>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</si>
  <si>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</si>
  <si>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</si>
  <si>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</si>
  <si>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</si>
  <si>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</si>
  <si>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</si>
  <si>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</si>
  <si>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</si>
  <si>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</si>
  <si>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</si>
  <si>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</si>
  <si>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</si>
  <si>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</si>
  <si>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</si>
  <si>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</si>
  <si>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</si>
  <si>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</si>
  <si>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</si>
  <si>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</si>
  <si>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</si>
  <si>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</si>
  <si>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</si>
  <si>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</si>
  <si>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</si>
  <si>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</si>
  <si>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</si>
  <si>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</si>
  <si>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</si>
  <si>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</si>
  <si>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</si>
  <si>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</si>
  <si>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</si>
  <si>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</si>
  <si>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</si>
  <si>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</si>
  <si>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</si>
  <si>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</si>
  <si>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</si>
  <si>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</si>
  <si>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</si>
  <si>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</si>
  <si>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</si>
  <si>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</si>
  <si>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</si>
  <si>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</si>
  <si>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</si>
  <si>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</si>
  <si>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</si>
  <si>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</si>
  <si>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</si>
  <si>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</si>
  <si>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</si>
  <si>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</si>
  <si>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</si>
  <si>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</si>
  <si>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</si>
  <si>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</si>
  <si>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</si>
  <si>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</si>
  <si>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</si>
  <si>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</si>
  <si>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</si>
  <si>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</si>
  <si>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</si>
  <si>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</si>
  <si>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</si>
  <si>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</si>
  <si>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</si>
  <si>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</si>
  <si>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</si>
  <si>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</si>
  <si>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</si>
  <si>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</si>
  <si>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</si>
  <si>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</si>
  <si>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</si>
  <si>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</si>
  <si>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</si>
  <si>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</si>
  <si>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</si>
  <si>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</si>
  <si>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</si>
  <si>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</si>
  <si>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</si>
  <si>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</si>
  <si>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</si>
  <si>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</si>
  <si>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</si>
  <si>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</si>
  <si>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</si>
  <si>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</si>
  <si>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</si>
  <si>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</si>
  <si>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</si>
  <si>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</si>
  <si>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</si>
  <si>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</si>
  <si>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</si>
  <si>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</si>
  <si>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</si>
  <si>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</si>
  <si>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</si>
  <si>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</si>
  <si>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</si>
  <si>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</si>
  <si>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</si>
  <si>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</si>
  <si>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</si>
  <si>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</si>
  <si>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</si>
  <si>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</si>
  <si>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</si>
  <si>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</si>
  <si>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</si>
  <si>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</si>
  <si>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</si>
  <si>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</si>
  <si>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</si>
  <si>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</si>
  <si>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</si>
  <si>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</si>
  <si>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</si>
  <si>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</si>
  <si>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</si>
  <si>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</si>
  <si>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</si>
  <si>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</si>
  <si>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</si>
  <si>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</si>
  <si>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</si>
  <si>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</si>
  <si>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</si>
  <si>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</si>
  <si>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</si>
  <si>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</si>
  <si>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</si>
  <si>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</si>
  <si>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</si>
  <si>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</si>
  <si>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</si>
  <si>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</si>
  <si>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</si>
  <si>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</si>
  <si>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</si>
  <si>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</si>
  <si>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</si>
  <si>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</si>
  <si>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</si>
  <si>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</si>
  <si>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</si>
  <si>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</si>
  <si>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</si>
  <si>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</si>
  <si>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</si>
  <si>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</si>
  <si>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</si>
  <si>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</si>
  <si>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</si>
  <si>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</si>
  <si>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</si>
  <si>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</si>
  <si>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</si>
  <si>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</si>
  <si>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</si>
  <si>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</si>
  <si>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</si>
  <si>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</si>
  <si>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</si>
  <si>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</si>
  <si>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</si>
  <si>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</si>
  <si>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</si>
  <si>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</si>
  <si>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</si>
  <si>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</si>
  <si>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</si>
  <si>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</si>
  <si>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</si>
  <si>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</si>
  <si>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</si>
  <si>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</si>
  <si>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</si>
  <si>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</si>
  <si>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</si>
  <si>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</si>
  <si>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</si>
  <si>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</si>
  <si>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</si>
  <si>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</si>
  <si>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</si>
  <si>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</si>
  <si>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</si>
  <si>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</si>
  <si>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</si>
  <si>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</si>
  <si>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</si>
  <si>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</si>
  <si>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</si>
  <si>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</si>
  <si>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</si>
  <si>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</si>
  <si>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</si>
  <si>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</si>
  <si>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</si>
  <si>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</si>
  <si>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</si>
  <si>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</si>
  <si>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</si>
  <si>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</si>
  <si>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</si>
  <si>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</si>
  <si>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</si>
  <si>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</si>
  <si>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</si>
  <si>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</si>
  <si>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</si>
  <si>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</si>
  <si>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</si>
  <si>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</si>
  <si>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</si>
  <si>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</si>
  <si>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</si>
  <si>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</si>
  <si>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</si>
  <si>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</si>
  <si>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</si>
  <si>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</si>
  <si>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</si>
  <si>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</si>
  <si>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</si>
  <si>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</si>
  <si>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</si>
  <si>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</si>
  <si>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</si>
  <si>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</si>
  <si>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</si>
  <si>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</si>
  <si>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</si>
  <si>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</si>
  <si>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</si>
  <si>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</si>
  <si>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</si>
  <si>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</si>
  <si>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</si>
  <si>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</si>
  <si>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</si>
  <si>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</si>
  <si>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</si>
  <si>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</si>
  <si>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</si>
  <si>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</si>
  <si>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</si>
  <si>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</si>
  <si>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</si>
  <si>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</si>
  <si>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</si>
  <si>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</si>
  <si>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</si>
  <si>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</si>
  <si>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</si>
  <si>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</si>
  <si>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</si>
  <si>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</si>
  <si>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</si>
  <si>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</si>
  <si>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</si>
  <si>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</si>
  <si>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</si>
  <si>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</si>
  <si>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</si>
  <si>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</si>
  <si>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</si>
  <si>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</si>
  <si>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</si>
  <si>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</si>
  <si>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</si>
  <si>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</si>
  <si>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</si>
  <si>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</si>
  <si>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</si>
  <si>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</si>
  <si>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</si>
  <si>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</si>
  <si>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</si>
  <si>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</si>
  <si>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</si>
  <si>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</si>
  <si>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</si>
  <si>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</si>
  <si>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</si>
  <si>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</si>
  <si>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</si>
  <si>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</si>
  <si>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</si>
  <si>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</si>
  <si>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</si>
  <si>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</si>
  <si>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</si>
  <si>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</si>
  <si>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</si>
  <si>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</si>
  <si>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</si>
  <si>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</si>
  <si>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</si>
  <si>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</si>
  <si>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</si>
  <si>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</si>
  <si>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</si>
  <si>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</si>
  <si>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</si>
  <si>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</si>
  <si>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</si>
  <si>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</si>
  <si>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</si>
  <si>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</si>
  <si>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</si>
  <si>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</si>
  <si>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</si>
  <si>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</si>
  <si>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</si>
  <si>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</si>
  <si>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</si>
  <si>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</si>
  <si>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</si>
  <si>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</si>
  <si>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</si>
  <si>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</si>
  <si>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</si>
  <si>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</si>
  <si>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</si>
  <si>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</si>
  <si>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</si>
  <si>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</si>
  <si>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</si>
  <si>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</si>
  <si>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</si>
  <si>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</si>
  <si>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</si>
  <si>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</si>
  <si>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</si>
  <si>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</si>
  <si>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</si>
  <si>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</si>
  <si>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</si>
  <si>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</si>
  <si>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</si>
  <si>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</si>
  <si>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</si>
  <si>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</si>
  <si>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</si>
  <si>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</si>
  <si>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</si>
  <si>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</si>
  <si>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</si>
  <si>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</si>
  <si>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</si>
  <si>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</si>
  <si>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</si>
  <si>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</si>
  <si>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</si>
  <si>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</si>
  <si>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</si>
  <si>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</si>
  <si>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</si>
  <si>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</si>
  <si>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</si>
  <si>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</si>
  <si>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</si>
  <si>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</si>
  <si>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</si>
  <si>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</si>
  <si>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</si>
  <si>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</si>
  <si>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</si>
  <si>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</si>
  <si>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</si>
  <si>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</si>
  <si>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</si>
  <si>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</si>
  <si>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</si>
  <si>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</si>
  <si>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</si>
  <si>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</si>
  <si>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</si>
  <si>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</si>
  <si>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</si>
  <si>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</si>
  <si>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</si>
  <si>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</si>
  <si>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</si>
  <si>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</si>
  <si>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</si>
  <si>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</si>
  <si>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</si>
  <si>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</si>
  <si>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</si>
  <si>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</si>
  <si>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</si>
  <si>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</si>
  <si>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</si>
  <si>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</si>
  <si>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</si>
  <si>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</si>
  <si>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</si>
  <si>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</si>
  <si>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</si>
  <si>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</si>
  <si>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</si>
  <si>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</si>
  <si>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</si>
  <si>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</si>
  <si>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</si>
  <si>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</si>
  <si>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</si>
  <si>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</si>
  <si>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</si>
  <si>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</si>
  <si>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</si>
  <si>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</si>
  <si>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</si>
  <si>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</si>
  <si>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</si>
  <si>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</si>
  <si>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</si>
  <si>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</si>
  <si>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</si>
  <si>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</si>
  <si>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</si>
  <si>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</si>
  <si>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</si>
  <si>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</si>
  <si>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</si>
  <si>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</si>
  <si>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</si>
  <si>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</si>
  <si>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</si>
  <si>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</si>
  <si>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</si>
  <si>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</si>
  <si>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</si>
  <si>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</si>
  <si>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</si>
  <si>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</si>
  <si>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</si>
  <si>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</si>
  <si>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</si>
  <si>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</si>
  <si>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</si>
  <si>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</si>
  <si>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</si>
  <si>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</si>
  <si>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</si>
  <si>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</si>
  <si>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</si>
  <si>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</si>
  <si>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</si>
  <si>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</si>
  <si>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</si>
  <si>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</si>
  <si>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</si>
  <si>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</si>
  <si>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</si>
  <si>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</si>
  <si>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</si>
  <si>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</si>
  <si>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</si>
  <si>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</si>
  <si>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</si>
  <si>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</si>
  <si>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</si>
  <si>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</si>
  <si>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</si>
  <si>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</si>
  <si>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</si>
  <si>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</si>
  <si>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</si>
  <si>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</si>
  <si>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</si>
  <si>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</si>
  <si>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</si>
  <si>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</si>
  <si>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</si>
  <si>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</si>
  <si>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</si>
  <si>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</si>
  <si>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</si>
  <si>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</si>
  <si>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</si>
  <si>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</si>
  <si>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</si>
  <si>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</si>
  <si>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</si>
  <si>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</si>
  <si>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</si>
  <si>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</si>
  <si>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</si>
  <si>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</si>
  <si>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</si>
  <si>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</si>
  <si>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</si>
  <si>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</si>
  <si>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</si>
  <si>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</si>
  <si>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</si>
  <si>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</si>
  <si>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</si>
  <si>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</si>
  <si>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</si>
  <si>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</si>
  <si>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</si>
  <si>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</si>
  <si>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</si>
  <si>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</si>
  <si>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</si>
  <si>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</si>
  <si>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</si>
  <si>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</si>
  <si>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</si>
  <si>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</si>
  <si>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</si>
  <si>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</si>
  <si>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</si>
  <si>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</si>
  <si>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</si>
  <si>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</si>
  <si>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</si>
  <si>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</si>
  <si>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</si>
  <si>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</si>
  <si>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</si>
  <si>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</si>
  <si>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</si>
  <si>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</si>
  <si>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</si>
  <si>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</si>
  <si>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</si>
  <si>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</si>
  <si>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</si>
  <si>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</si>
  <si>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</si>
  <si>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</si>
  <si>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</si>
  <si>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</si>
  <si>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</si>
  <si>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</si>
  <si>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</si>
  <si>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</si>
  <si>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</si>
  <si>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</si>
  <si>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</si>
  <si>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</si>
  <si>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</si>
  <si>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</si>
  <si>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</si>
  <si>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</si>
  <si>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</si>
  <si>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</si>
  <si>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</si>
  <si>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</si>
  <si>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</si>
  <si>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</si>
  <si>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</si>
  <si>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</si>
  <si>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</si>
  <si>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</si>
  <si>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</si>
  <si>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</si>
  <si>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</si>
  <si>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</si>
  <si>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</si>
  <si>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</si>
  <si>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</si>
  <si>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</si>
  <si>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</si>
  <si>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</si>
  <si>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</si>
  <si>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</si>
  <si>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</si>
  <si>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</si>
  <si>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</si>
  <si>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</si>
  <si>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</si>
  <si>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</si>
  <si>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</si>
  <si>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</si>
  <si>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</si>
  <si>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</si>
  <si>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</si>
  <si>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</si>
  <si>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</si>
  <si>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</si>
  <si>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</si>
  <si>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</si>
  <si>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</si>
  <si>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</si>
  <si>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</si>
  <si>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</si>
  <si>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</si>
  <si>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</si>
  <si>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</si>
  <si>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</si>
  <si>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</si>
  <si>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</si>
  <si>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</si>
  <si>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</si>
  <si>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</si>
  <si>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</si>
  <si>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</si>
  <si>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</si>
  <si>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</si>
  <si>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</si>
  <si>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</si>
  <si>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</si>
  <si>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</si>
  <si>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41063</t>
  </si>
  <si>
    <t>SINT-LIEVENS-HOUTEM</t>
  </si>
  <si>
    <t>Paarden&amp;pony's 200 - 600 kg</t>
  </si>
  <si>
    <t>Paarden&amp;pony's &lt; 200 kg</t>
  </si>
  <si>
    <t>Fluvius</t>
  </si>
  <si>
    <t>referentietaak LNE (2017); Jaarverslag De Lijn</t>
  </si>
  <si>
    <t>COFELY Services</t>
  </si>
  <si>
    <t>Koning Albert II-laan 30 28, 1000 Brussel</t>
  </si>
  <si>
    <t>BGS-0018 Ilva Vlierzele</t>
  </si>
  <si>
    <t>biogas - stortgas</t>
  </si>
  <si>
    <t>niet WKK interne verbrandingsmotor (gas)</t>
  </si>
  <si>
    <t>Bussegem 2,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</si>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</sst>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41063</v>
      </c>
      <c r="B6" s="386"/>
      <c r="C6" s="387"/>
    </row>
    <row r="7" spans="1:7" s="384" customFormat="1" ht="15.75" customHeight="1">
      <c r="A7" s="388" t="str">
        <f>txtMunicipality</f>
        <v>SINT-LIEVENS-HOUTEM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12872.670258632692</v>
      </c>
      <c r="D10" s="676">
        <f ca="1">tertiair!C16</f>
        <v>0</v>
      </c>
      <c r="E10" s="676">
        <f ca="1">tertiair!D16</f>
        <v>5244.686827309406</v>
      </c>
      <c r="F10" s="676">
        <f>tertiair!E16</f>
        <v>60.622855489094817</v>
      </c>
      <c r="G10" s="676">
        <f ca="1">tertiair!F16</f>
        <v>1598.8768908604084</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0</v>
      </c>
      <c r="R10" s="679">
        <f ca="1">SUM(C10:Q10)</f>
        <v>19776.8568322916</v>
      </c>
      <c r="S10" s="68"/>
    </row>
    <row r="11" spans="1:19" s="445" customFormat="1">
      <c r="A11" s="791" t="s">
        <v>220</v>
      </c>
      <c r="B11" s="796"/>
      <c r="C11" s="676">
        <f>huishoudens!B8</f>
        <v>22036.646300066895</v>
      </c>
      <c r="D11" s="676">
        <f>huishoudens!C8</f>
        <v>0</v>
      </c>
      <c r="E11" s="676">
        <f>huishoudens!D8</f>
        <v>28742.548513158414</v>
      </c>
      <c r="F11" s="676">
        <f>huishoudens!E8</f>
        <v>1242.1016754549987</v>
      </c>
      <c r="G11" s="676">
        <f>huishoudens!F8</f>
        <v>37868.073895968824</v>
      </c>
      <c r="H11" s="676">
        <f>huishoudens!G8</f>
        <v>0</v>
      </c>
      <c r="I11" s="676">
        <f>huishoudens!H8</f>
        <v>0</v>
      </c>
      <c r="J11" s="676">
        <f>huishoudens!I8</f>
        <v>0</v>
      </c>
      <c r="K11" s="676">
        <f>huishoudens!J8</f>
        <v>687.10300586976541</v>
      </c>
      <c r="L11" s="676">
        <f>huishoudens!K8</f>
        <v>0</v>
      </c>
      <c r="M11" s="676">
        <f>huishoudens!L8</f>
        <v>0</v>
      </c>
      <c r="N11" s="676">
        <f>huishoudens!M8</f>
        <v>0</v>
      </c>
      <c r="O11" s="676">
        <f>huishoudens!N8</f>
        <v>6180.164779346379</v>
      </c>
      <c r="P11" s="676">
        <f>huishoudens!O8</f>
        <v>82.856666666666683</v>
      </c>
      <c r="Q11" s="677">
        <f>huishoudens!P8</f>
        <v>419.4666666666667</v>
      </c>
      <c r="R11" s="679">
        <f>SUM(C11:Q11)</f>
        <v>97258.961503198618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22408.6042858322</v>
      </c>
      <c r="D13" s="676">
        <f>industrie!C18</f>
        <v>0</v>
      </c>
      <c r="E13" s="676">
        <f>industrie!D18</f>
        <v>65634.008990839167</v>
      </c>
      <c r="F13" s="676">
        <f>industrie!E18</f>
        <v>200.55900690265617</v>
      </c>
      <c r="G13" s="676">
        <f>industrie!F18</f>
        <v>4699.3024629100673</v>
      </c>
      <c r="H13" s="676">
        <f>industrie!G18</f>
        <v>0</v>
      </c>
      <c r="I13" s="676">
        <f>industrie!H18</f>
        <v>0</v>
      </c>
      <c r="J13" s="676">
        <f>industrie!I18</f>
        <v>0</v>
      </c>
      <c r="K13" s="676">
        <f>industrie!J18</f>
        <v>108.17182681444054</v>
      </c>
      <c r="L13" s="676">
        <f>industrie!K18</f>
        <v>0</v>
      </c>
      <c r="M13" s="676">
        <f>industrie!L18</f>
        <v>0</v>
      </c>
      <c r="N13" s="676">
        <f>industrie!M18</f>
        <v>0</v>
      </c>
      <c r="O13" s="676">
        <f>industrie!N18</f>
        <v>703.44712518186338</v>
      </c>
      <c r="P13" s="676">
        <f>industrie!O18</f>
        <v>0</v>
      </c>
      <c r="Q13" s="677">
        <f>industrie!P18</f>
        <v>0</v>
      </c>
      <c r="R13" s="679">
        <f>SUM(C13:Q13)</f>
        <v>93754.093698480399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57317.920844531793</v>
      </c>
      <c r="D16" s="709">
        <f t="shared" ref="D16:R16" ca="1" si="0">SUM(D9:D15)</f>
        <v>0</v>
      </c>
      <c r="E16" s="709">
        <f t="shared" ca="1" si="0"/>
        <v>99621.244331306982</v>
      </c>
      <c r="F16" s="709">
        <f t="shared" si="0"/>
        <v>1503.2835378467496</v>
      </c>
      <c r="G16" s="709">
        <f t="shared" ca="1" si="0"/>
        <v>44166.253249739304</v>
      </c>
      <c r="H16" s="709">
        <f t="shared" si="0"/>
        <v>0</v>
      </c>
      <c r="I16" s="709">
        <f t="shared" si="0"/>
        <v>0</v>
      </c>
      <c r="J16" s="709">
        <f t="shared" si="0"/>
        <v>0</v>
      </c>
      <c r="K16" s="709">
        <f t="shared" si="0"/>
        <v>795.27483268420599</v>
      </c>
      <c r="L16" s="709">
        <f t="shared" si="0"/>
        <v>0</v>
      </c>
      <c r="M16" s="709">
        <f t="shared" ca="1" si="0"/>
        <v>0</v>
      </c>
      <c r="N16" s="709">
        <f t="shared" si="0"/>
        <v>0</v>
      </c>
      <c r="O16" s="709">
        <f t="shared" ca="1" si="0"/>
        <v>6883.6119045282421</v>
      </c>
      <c r="P16" s="709">
        <f t="shared" si="0"/>
        <v>82.856666666666683</v>
      </c>
      <c r="Q16" s="709">
        <f t="shared" si="0"/>
        <v>419.4666666666667</v>
      </c>
      <c r="R16" s="709">
        <f t="shared" ca="1" si="0"/>
        <v>210789.91203397061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3.8715215231447133</v>
      </c>
      <c r="D19" s="676">
        <f>transport!C54</f>
        <v>0</v>
      </c>
      <c r="E19" s="676">
        <f>transport!D54</f>
        <v>0</v>
      </c>
      <c r="F19" s="676">
        <f>transport!E54</f>
        <v>0</v>
      </c>
      <c r="G19" s="676">
        <f>transport!F54</f>
        <v>0</v>
      </c>
      <c r="H19" s="676">
        <f>transport!G54</f>
        <v>772.18260074889201</v>
      </c>
      <c r="I19" s="676">
        <f>transport!H54</f>
        <v>0</v>
      </c>
      <c r="J19" s="676">
        <f>transport!I54</f>
        <v>0</v>
      </c>
      <c r="K19" s="676">
        <f>transport!J54</f>
        <v>0</v>
      </c>
      <c r="L19" s="676">
        <f>transport!K54</f>
        <v>0</v>
      </c>
      <c r="M19" s="676">
        <f>transport!L54</f>
        <v>0</v>
      </c>
      <c r="N19" s="676">
        <f>transport!M54</f>
        <v>34.129648532465801</v>
      </c>
      <c r="O19" s="676">
        <f>transport!N54</f>
        <v>0</v>
      </c>
      <c r="P19" s="676">
        <f>transport!O54</f>
        <v>0</v>
      </c>
      <c r="Q19" s="677">
        <f>transport!P54</f>
        <v>0</v>
      </c>
      <c r="R19" s="679">
        <f>SUM(C19:Q19)</f>
        <v>810.1837708045025</v>
      </c>
      <c r="S19" s="68"/>
    </row>
    <row r="20" spans="1:19" s="445" customFormat="1">
      <c r="A20" s="791" t="s">
        <v>302</v>
      </c>
      <c r="B20" s="796"/>
      <c r="C20" s="676">
        <f>transport!B14</f>
        <v>4.3983515729700224</v>
      </c>
      <c r="D20" s="676">
        <f>transport!C14</f>
        <v>0</v>
      </c>
      <c r="E20" s="676">
        <f>transport!D14</f>
        <v>5.5472485188791412</v>
      </c>
      <c r="F20" s="676">
        <f>transport!E14</f>
        <v>399.11193540636862</v>
      </c>
      <c r="G20" s="676">
        <f>transport!F14</f>
        <v>0</v>
      </c>
      <c r="H20" s="676">
        <f>transport!G14</f>
        <v>86532.026832551361</v>
      </c>
      <c r="I20" s="676">
        <f>transport!H14</f>
        <v>13707.730509345311</v>
      </c>
      <c r="J20" s="676">
        <f>transport!I14</f>
        <v>0</v>
      </c>
      <c r="K20" s="676">
        <f>transport!J14</f>
        <v>0</v>
      </c>
      <c r="L20" s="676">
        <f>transport!K14</f>
        <v>0</v>
      </c>
      <c r="M20" s="676">
        <f>transport!L14</f>
        <v>0</v>
      </c>
      <c r="N20" s="676">
        <f>transport!M14</f>
        <v>4478.1871946411748</v>
      </c>
      <c r="O20" s="676">
        <f>transport!N14</f>
        <v>0</v>
      </c>
      <c r="P20" s="676">
        <f>transport!O14</f>
        <v>0</v>
      </c>
      <c r="Q20" s="677">
        <f>transport!P14</f>
        <v>0</v>
      </c>
      <c r="R20" s="679">
        <f>SUM(C20:Q20)</f>
        <v>105127.00207203605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8.2698730961147362</v>
      </c>
      <c r="D22" s="794">
        <f t="shared" ref="D22:R22" si="1">SUM(D18:D21)</f>
        <v>0</v>
      </c>
      <c r="E22" s="794">
        <f t="shared" si="1"/>
        <v>5.5472485188791412</v>
      </c>
      <c r="F22" s="794">
        <f t="shared" si="1"/>
        <v>399.11193540636862</v>
      </c>
      <c r="G22" s="794">
        <f t="shared" si="1"/>
        <v>0</v>
      </c>
      <c r="H22" s="794">
        <f t="shared" si="1"/>
        <v>87304.209433300246</v>
      </c>
      <c r="I22" s="794">
        <f t="shared" si="1"/>
        <v>13707.730509345311</v>
      </c>
      <c r="J22" s="794">
        <f t="shared" si="1"/>
        <v>0</v>
      </c>
      <c r="K22" s="794">
        <f t="shared" si="1"/>
        <v>0</v>
      </c>
      <c r="L22" s="794">
        <f t="shared" si="1"/>
        <v>0</v>
      </c>
      <c r="M22" s="794">
        <f t="shared" si="1"/>
        <v>0</v>
      </c>
      <c r="N22" s="794">
        <f t="shared" si="1"/>
        <v>4512.3168431736403</v>
      </c>
      <c r="O22" s="794">
        <f t="shared" si="1"/>
        <v>0</v>
      </c>
      <c r="P22" s="794">
        <f t="shared" si="1"/>
        <v>0</v>
      </c>
      <c r="Q22" s="794">
        <f t="shared" si="1"/>
        <v>0</v>
      </c>
      <c r="R22" s="794">
        <f t="shared" si="1"/>
        <v>105937.18584284055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1254.812095547629</v>
      </c>
      <c r="D24" s="676">
        <f>+landbouw!C8</f>
        <v>0</v>
      </c>
      <c r="E24" s="676">
        <f>+landbouw!D8</f>
        <v>102.08984321497229</v>
      </c>
      <c r="F24" s="676">
        <f>+landbouw!E8</f>
        <v>11.821170691741942</v>
      </c>
      <c r="G24" s="676">
        <f>+landbouw!F8</f>
        <v>4094.8683033336965</v>
      </c>
      <c r="H24" s="676">
        <f>+landbouw!G8</f>
        <v>0</v>
      </c>
      <c r="I24" s="676">
        <f>+landbouw!H8</f>
        <v>0</v>
      </c>
      <c r="J24" s="676">
        <f>+landbouw!I8</f>
        <v>0</v>
      </c>
      <c r="K24" s="676">
        <f>+landbouw!J8</f>
        <v>155.22635962410209</v>
      </c>
      <c r="L24" s="676">
        <f>+landbouw!K8</f>
        <v>0</v>
      </c>
      <c r="M24" s="676">
        <f>+landbouw!L8</f>
        <v>0</v>
      </c>
      <c r="N24" s="676">
        <f>+landbouw!M8</f>
        <v>0</v>
      </c>
      <c r="O24" s="676">
        <f>+landbouw!N8</f>
        <v>0</v>
      </c>
      <c r="P24" s="676">
        <f>+landbouw!O8</f>
        <v>0</v>
      </c>
      <c r="Q24" s="677">
        <f>+landbouw!P8</f>
        <v>0</v>
      </c>
      <c r="R24" s="679">
        <f>SUM(C24:Q24)</f>
        <v>5618.8177724121415</v>
      </c>
      <c r="S24" s="68"/>
    </row>
    <row r="25" spans="1:19" s="445" customFormat="1" ht="15" thickBot="1">
      <c r="A25" s="813" t="s">
        <v>879</v>
      </c>
      <c r="B25" s="979"/>
      <c r="C25" s="980">
        <f>IF(Onbekend_ele_kWh="---",0,Onbekend_ele_kWh)/1000+IF(REST_rest_ele_kWh="---",0,REST_rest_ele_kWh)/1000</f>
        <v>562.79227632903405</v>
      </c>
      <c r="D25" s="980"/>
      <c r="E25" s="980">
        <f>IF(onbekend_gas_kWh="---",0,onbekend_gas_kWh)/1000+IF(REST_rest_gas_kWh="---",0,REST_rest_gas_kWh)/1000</f>
        <v>654.53957583879503</v>
      </c>
      <c r="F25" s="980"/>
      <c r="G25" s="980"/>
      <c r="H25" s="980"/>
      <c r="I25" s="980"/>
      <c r="J25" s="980"/>
      <c r="K25" s="980"/>
      <c r="L25" s="980"/>
      <c r="M25" s="980"/>
      <c r="N25" s="980"/>
      <c r="O25" s="980"/>
      <c r="P25" s="980"/>
      <c r="Q25" s="981"/>
      <c r="R25" s="679">
        <f>SUM(C25:Q25)</f>
        <v>1217.3318521678291</v>
      </c>
      <c r="S25" s="68"/>
    </row>
    <row r="26" spans="1:19" s="445" customFormat="1" ht="15.75" thickBot="1">
      <c r="A26" s="682" t="s">
        <v>880</v>
      </c>
      <c r="B26" s="799"/>
      <c r="C26" s="794">
        <f>SUM(C24:C25)</f>
        <v>1817.6043718766632</v>
      </c>
      <c r="D26" s="794">
        <f t="shared" ref="D26:R26" si="2">SUM(D24:D25)</f>
        <v>0</v>
      </c>
      <c r="E26" s="794">
        <f t="shared" si="2"/>
        <v>756.62941905376738</v>
      </c>
      <c r="F26" s="794">
        <f t="shared" si="2"/>
        <v>11.821170691741942</v>
      </c>
      <c r="G26" s="794">
        <f t="shared" si="2"/>
        <v>4094.8683033336965</v>
      </c>
      <c r="H26" s="794">
        <f t="shared" si="2"/>
        <v>0</v>
      </c>
      <c r="I26" s="794">
        <f t="shared" si="2"/>
        <v>0</v>
      </c>
      <c r="J26" s="794">
        <f t="shared" si="2"/>
        <v>0</v>
      </c>
      <c r="K26" s="794">
        <f t="shared" si="2"/>
        <v>155.22635962410209</v>
      </c>
      <c r="L26" s="794">
        <f t="shared" si="2"/>
        <v>0</v>
      </c>
      <c r="M26" s="794">
        <f t="shared" si="2"/>
        <v>0</v>
      </c>
      <c r="N26" s="794">
        <f t="shared" si="2"/>
        <v>0</v>
      </c>
      <c r="O26" s="794">
        <f t="shared" si="2"/>
        <v>0</v>
      </c>
      <c r="P26" s="794">
        <f t="shared" si="2"/>
        <v>0</v>
      </c>
      <c r="Q26" s="794">
        <f t="shared" si="2"/>
        <v>0</v>
      </c>
      <c r="R26" s="794">
        <f t="shared" si="2"/>
        <v>6836.1496245799708</v>
      </c>
      <c r="S26" s="68"/>
    </row>
    <row r="27" spans="1:19" s="445" customFormat="1" ht="17.25" thickTop="1" thickBot="1">
      <c r="A27" s="683" t="s">
        <v>115</v>
      </c>
      <c r="B27" s="786"/>
      <c r="C27" s="684">
        <f ca="1">C22+C16+C26</f>
        <v>59143.795089504565</v>
      </c>
      <c r="D27" s="684">
        <f t="shared" ref="D27:R27" ca="1" si="3">D22+D16+D26</f>
        <v>0</v>
      </c>
      <c r="E27" s="684">
        <f t="shared" ca="1" si="3"/>
        <v>100383.42099887964</v>
      </c>
      <c r="F27" s="684">
        <f t="shared" si="3"/>
        <v>1914.2166439448604</v>
      </c>
      <c r="G27" s="684">
        <f t="shared" ca="1" si="3"/>
        <v>48261.121553072997</v>
      </c>
      <c r="H27" s="684">
        <f t="shared" si="3"/>
        <v>87304.209433300246</v>
      </c>
      <c r="I27" s="684">
        <f t="shared" si="3"/>
        <v>13707.730509345311</v>
      </c>
      <c r="J27" s="684">
        <f t="shared" si="3"/>
        <v>0</v>
      </c>
      <c r="K27" s="684">
        <f t="shared" si="3"/>
        <v>950.50119230830808</v>
      </c>
      <c r="L27" s="684">
        <f t="shared" si="3"/>
        <v>0</v>
      </c>
      <c r="M27" s="684">
        <f t="shared" ca="1" si="3"/>
        <v>0</v>
      </c>
      <c r="N27" s="684">
        <f t="shared" si="3"/>
        <v>4512.3168431736403</v>
      </c>
      <c r="O27" s="684">
        <f t="shared" ca="1" si="3"/>
        <v>6883.6119045282421</v>
      </c>
      <c r="P27" s="684">
        <f t="shared" si="3"/>
        <v>82.856666666666683</v>
      </c>
      <c r="Q27" s="684">
        <f t="shared" si="3"/>
        <v>419.4666666666667</v>
      </c>
      <c r="R27" s="684">
        <f t="shared" ca="1" si="3"/>
        <v>323563.24750139116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2454.3866371017311</v>
      </c>
      <c r="D40" s="676">
        <f ca="1">tertiair!C20</f>
        <v>0</v>
      </c>
      <c r="E40" s="676">
        <f ca="1">tertiair!D20</f>
        <v>1059.4267391165001</v>
      </c>
      <c r="F40" s="676">
        <f>tertiair!E20</f>
        <v>13.761388196024525</v>
      </c>
      <c r="G40" s="676">
        <f ca="1">tertiair!F20</f>
        <v>426.90012985972908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3954.4748942739852</v>
      </c>
    </row>
    <row r="41" spans="1:18">
      <c r="A41" s="804" t="s">
        <v>220</v>
      </c>
      <c r="B41" s="811"/>
      <c r="C41" s="676">
        <f ca="1">huishoudens!B12</f>
        <v>4201.6496281453301</v>
      </c>
      <c r="D41" s="676">
        <f ca="1">huishoudens!C12</f>
        <v>0</v>
      </c>
      <c r="E41" s="676">
        <f>huishoudens!D12</f>
        <v>5805.9947996580004</v>
      </c>
      <c r="F41" s="676">
        <f>huishoudens!E12</f>
        <v>281.95708032828469</v>
      </c>
      <c r="G41" s="676">
        <f>huishoudens!F12</f>
        <v>10110.775730223677</v>
      </c>
      <c r="H41" s="676">
        <f>huishoudens!G12</f>
        <v>0</v>
      </c>
      <c r="I41" s="676">
        <f>huishoudens!H12</f>
        <v>0</v>
      </c>
      <c r="J41" s="676">
        <f>huishoudens!I12</f>
        <v>0</v>
      </c>
      <c r="K41" s="676">
        <f>huishoudens!J12</f>
        <v>243.23446407789694</v>
      </c>
      <c r="L41" s="676">
        <f>huishoudens!K12</f>
        <v>0</v>
      </c>
      <c r="M41" s="676">
        <f>huishoudens!L12</f>
        <v>0</v>
      </c>
      <c r="N41" s="676">
        <f>huishoudens!M12</f>
        <v>0</v>
      </c>
      <c r="O41" s="676">
        <f>huishoudens!N12</f>
        <v>0</v>
      </c>
      <c r="P41" s="676">
        <f>huishoudens!O12</f>
        <v>0</v>
      </c>
      <c r="Q41" s="751">
        <f>huishoudens!P12</f>
        <v>0</v>
      </c>
      <c r="R41" s="832">
        <f t="shared" ca="1" si="4"/>
        <v>20643.611702433191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4272.5695454183924</v>
      </c>
      <c r="D43" s="676">
        <f ca="1">industrie!C22</f>
        <v>0</v>
      </c>
      <c r="E43" s="676">
        <f>industrie!D22</f>
        <v>13258.069816149513</v>
      </c>
      <c r="F43" s="676">
        <f>industrie!E22</f>
        <v>45.526894566902953</v>
      </c>
      <c r="G43" s="676">
        <f>industrie!F22</f>
        <v>1254.713757596988</v>
      </c>
      <c r="H43" s="676">
        <f>industrie!G22</f>
        <v>0</v>
      </c>
      <c r="I43" s="676">
        <f>industrie!H22</f>
        <v>0</v>
      </c>
      <c r="J43" s="676">
        <f>industrie!I22</f>
        <v>0</v>
      </c>
      <c r="K43" s="676">
        <f>industrie!J22</f>
        <v>38.292826692311948</v>
      </c>
      <c r="L43" s="676">
        <f>industrie!K22</f>
        <v>0</v>
      </c>
      <c r="M43" s="676">
        <f>industrie!L22</f>
        <v>0</v>
      </c>
      <c r="N43" s="676">
        <f>industrie!M22</f>
        <v>0</v>
      </c>
      <c r="O43" s="676">
        <f>industrie!N22</f>
        <v>0</v>
      </c>
      <c r="P43" s="676">
        <f>industrie!O22</f>
        <v>0</v>
      </c>
      <c r="Q43" s="751">
        <f>industrie!P22</f>
        <v>0</v>
      </c>
      <c r="R43" s="831">
        <f t="shared" ca="1" si="4"/>
        <v>18869.172840424104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10928.605810665453</v>
      </c>
      <c r="D46" s="709">
        <f t="shared" ref="D46:Q46" ca="1" si="5">SUM(D39:D45)</f>
        <v>0</v>
      </c>
      <c r="E46" s="709">
        <f t="shared" ca="1" si="5"/>
        <v>20123.491354924015</v>
      </c>
      <c r="F46" s="709">
        <f t="shared" si="5"/>
        <v>341.2453630912122</v>
      </c>
      <c r="G46" s="709">
        <f t="shared" ca="1" si="5"/>
        <v>11792.389617680394</v>
      </c>
      <c r="H46" s="709">
        <f t="shared" si="5"/>
        <v>0</v>
      </c>
      <c r="I46" s="709">
        <f t="shared" si="5"/>
        <v>0</v>
      </c>
      <c r="J46" s="709">
        <f t="shared" si="5"/>
        <v>0</v>
      </c>
      <c r="K46" s="709">
        <f t="shared" si="5"/>
        <v>281.52729077020888</v>
      </c>
      <c r="L46" s="709">
        <f t="shared" si="5"/>
        <v>0</v>
      </c>
      <c r="M46" s="709">
        <f t="shared" ca="1" si="5"/>
        <v>0</v>
      </c>
      <c r="N46" s="709">
        <f t="shared" si="5"/>
        <v>0</v>
      </c>
      <c r="O46" s="709">
        <f t="shared" ca="1" si="5"/>
        <v>0</v>
      </c>
      <c r="P46" s="709">
        <f t="shared" si="5"/>
        <v>0</v>
      </c>
      <c r="Q46" s="709">
        <f t="shared" si="5"/>
        <v>0</v>
      </c>
      <c r="R46" s="709">
        <f ca="1">SUM(R39:R45)</f>
        <v>43467.259437131281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0.73816935420106311</v>
      </c>
      <c r="D49" s="676">
        <f ca="1">transport!C58</f>
        <v>0</v>
      </c>
      <c r="E49" s="676">
        <f>transport!D58</f>
        <v>0</v>
      </c>
      <c r="F49" s="676">
        <f>transport!E58</f>
        <v>0</v>
      </c>
      <c r="G49" s="676">
        <f>transport!F58</f>
        <v>0</v>
      </c>
      <c r="H49" s="676">
        <f>transport!G58</f>
        <v>206.17275439995419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206.91092375415525</v>
      </c>
    </row>
    <row r="50" spans="1:18">
      <c r="A50" s="807" t="s">
        <v>302</v>
      </c>
      <c r="B50" s="817"/>
      <c r="C50" s="986">
        <f ca="1">transport!B18</f>
        <v>0.83861818170425606</v>
      </c>
      <c r="D50" s="986">
        <f>transport!C18</f>
        <v>0</v>
      </c>
      <c r="E50" s="986">
        <f>transport!D18</f>
        <v>1.1205442008135866</v>
      </c>
      <c r="F50" s="986">
        <f>transport!E18</f>
        <v>90.598409337245684</v>
      </c>
      <c r="G50" s="986">
        <f>transport!F18</f>
        <v>0</v>
      </c>
      <c r="H50" s="986">
        <f>transport!G18</f>
        <v>23104.051164291213</v>
      </c>
      <c r="I50" s="986">
        <f>transport!H18</f>
        <v>3413.2248968269823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26609.833632837959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1.5767875359053192</v>
      </c>
      <c r="D52" s="709">
        <f t="shared" ref="D52:Q52" ca="1" si="6">SUM(D48:D51)</f>
        <v>0</v>
      </c>
      <c r="E52" s="709">
        <f t="shared" si="6"/>
        <v>1.1205442008135866</v>
      </c>
      <c r="F52" s="709">
        <f t="shared" si="6"/>
        <v>90.598409337245684</v>
      </c>
      <c r="G52" s="709">
        <f t="shared" si="6"/>
        <v>0</v>
      </c>
      <c r="H52" s="709">
        <f t="shared" si="6"/>
        <v>23310.223918691168</v>
      </c>
      <c r="I52" s="709">
        <f t="shared" si="6"/>
        <v>3413.2248968269823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26816.744556592115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239.25059661342175</v>
      </c>
      <c r="D54" s="986">
        <f ca="1">+landbouw!C12</f>
        <v>0</v>
      </c>
      <c r="E54" s="986">
        <f>+landbouw!D12</f>
        <v>20.622148329424405</v>
      </c>
      <c r="F54" s="986">
        <f>+landbouw!E12</f>
        <v>2.6834057470254211</v>
      </c>
      <c r="G54" s="986">
        <f>+landbouw!F12</f>
        <v>1093.329836990097</v>
      </c>
      <c r="H54" s="986">
        <f>+landbouw!G12</f>
        <v>0</v>
      </c>
      <c r="I54" s="986">
        <f>+landbouw!H12</f>
        <v>0</v>
      </c>
      <c r="J54" s="986">
        <f>+landbouw!I12</f>
        <v>0</v>
      </c>
      <c r="K54" s="986">
        <f>+landbouw!J12</f>
        <v>54.950131306932136</v>
      </c>
      <c r="L54" s="986">
        <f>+landbouw!K12</f>
        <v>0</v>
      </c>
      <c r="M54" s="986">
        <f>+landbouw!L12</f>
        <v>0</v>
      </c>
      <c r="N54" s="986">
        <f>+landbouw!M12</f>
        <v>0</v>
      </c>
      <c r="O54" s="986">
        <f>+landbouw!N12</f>
        <v>0</v>
      </c>
      <c r="P54" s="986">
        <f>+landbouw!O12</f>
        <v>0</v>
      </c>
      <c r="Q54" s="987">
        <f>+landbouw!P12</f>
        <v>0</v>
      </c>
      <c r="R54" s="708">
        <f ca="1">SUM(C54:Q54)</f>
        <v>1410.8361189869008</v>
      </c>
    </row>
    <row r="55" spans="1:18" ht="15" thickBot="1">
      <c r="A55" s="807" t="s">
        <v>879</v>
      </c>
      <c r="B55" s="817"/>
      <c r="C55" s="986">
        <f ca="1">C25*'EF ele_warmte'!B12</f>
        <v>107.3056183941098</v>
      </c>
      <c r="D55" s="986"/>
      <c r="E55" s="986">
        <f>E25*EF_CO2_aardgas</f>
        <v>132.21699431943659</v>
      </c>
      <c r="F55" s="986"/>
      <c r="G55" s="986"/>
      <c r="H55" s="986"/>
      <c r="I55" s="986"/>
      <c r="J55" s="986"/>
      <c r="K55" s="986"/>
      <c r="L55" s="986"/>
      <c r="M55" s="986"/>
      <c r="N55" s="986"/>
      <c r="O55" s="986"/>
      <c r="P55" s="986"/>
      <c r="Q55" s="987"/>
      <c r="R55" s="708">
        <f ca="1">SUM(C55:Q55)</f>
        <v>239.52261271354638</v>
      </c>
    </row>
    <row r="56" spans="1:18" ht="15.75" thickBot="1">
      <c r="A56" s="805" t="s">
        <v>880</v>
      </c>
      <c r="B56" s="818"/>
      <c r="C56" s="709">
        <f ca="1">SUM(C54:C55)</f>
        <v>346.55621500753153</v>
      </c>
      <c r="D56" s="709">
        <f t="shared" ref="D56:Q56" ca="1" si="7">SUM(D54:D55)</f>
        <v>0</v>
      </c>
      <c r="E56" s="709">
        <f t="shared" si="7"/>
        <v>152.83914264886101</v>
      </c>
      <c r="F56" s="709">
        <f t="shared" si="7"/>
        <v>2.6834057470254211</v>
      </c>
      <c r="G56" s="709">
        <f t="shared" si="7"/>
        <v>1093.329836990097</v>
      </c>
      <c r="H56" s="709">
        <f t="shared" si="7"/>
        <v>0</v>
      </c>
      <c r="I56" s="709">
        <f t="shared" si="7"/>
        <v>0</v>
      </c>
      <c r="J56" s="709">
        <f t="shared" si="7"/>
        <v>0</v>
      </c>
      <c r="K56" s="709">
        <f t="shared" si="7"/>
        <v>54.950131306932136</v>
      </c>
      <c r="L56" s="709">
        <f t="shared" si="7"/>
        <v>0</v>
      </c>
      <c r="M56" s="709">
        <f t="shared" si="7"/>
        <v>0</v>
      </c>
      <c r="N56" s="709">
        <f t="shared" si="7"/>
        <v>0</v>
      </c>
      <c r="O56" s="709">
        <f t="shared" si="7"/>
        <v>0</v>
      </c>
      <c r="P56" s="709">
        <f t="shared" si="7"/>
        <v>0</v>
      </c>
      <c r="Q56" s="710">
        <f t="shared" si="7"/>
        <v>0</v>
      </c>
      <c r="R56" s="711">
        <f ca="1">SUM(R54:R55)</f>
        <v>1650.3587317004472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11276.738813208889</v>
      </c>
      <c r="D61" s="717">
        <f t="shared" ref="D61:Q61" ca="1" si="8">D46+D52+D56</f>
        <v>0</v>
      </c>
      <c r="E61" s="717">
        <f t="shared" ca="1" si="8"/>
        <v>20277.451041773689</v>
      </c>
      <c r="F61" s="717">
        <f t="shared" si="8"/>
        <v>434.5271781754833</v>
      </c>
      <c r="G61" s="717">
        <f t="shared" ca="1" si="8"/>
        <v>12885.71945467049</v>
      </c>
      <c r="H61" s="717">
        <f t="shared" si="8"/>
        <v>23310.223918691168</v>
      </c>
      <c r="I61" s="717">
        <f t="shared" si="8"/>
        <v>3413.2248968269823</v>
      </c>
      <c r="J61" s="717">
        <f t="shared" si="8"/>
        <v>0</v>
      </c>
      <c r="K61" s="717">
        <f t="shared" si="8"/>
        <v>336.477422077141</v>
      </c>
      <c r="L61" s="717">
        <f t="shared" si="8"/>
        <v>0</v>
      </c>
      <c r="M61" s="717">
        <f t="shared" ca="1" si="8"/>
        <v>0</v>
      </c>
      <c r="N61" s="717">
        <f t="shared" si="8"/>
        <v>0</v>
      </c>
      <c r="O61" s="717">
        <f t="shared" ca="1" si="8"/>
        <v>0</v>
      </c>
      <c r="P61" s="717">
        <f t="shared" si="8"/>
        <v>0</v>
      </c>
      <c r="Q61" s="717">
        <f t="shared" si="8"/>
        <v>0</v>
      </c>
      <c r="R61" s="717">
        <f ca="1">R46+R52+R56</f>
        <v>71934.362725423838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0.19066647306185491</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2807.8276089213487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5310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15171.428571428572</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8117.8276089213487</v>
      </c>
      <c r="C78" s="732">
        <f>SUM(C72:C77)</f>
        <v>0</v>
      </c>
      <c r="D78" s="733">
        <f t="shared" ref="D78:H78" si="10">SUM(D76:D77)</f>
        <v>0</v>
      </c>
      <c r="E78" s="733">
        <f t="shared" si="10"/>
        <v>0</v>
      </c>
      <c r="F78" s="733">
        <f t="shared" si="10"/>
        <v>0</v>
      </c>
      <c r="G78" s="733">
        <f t="shared" si="10"/>
        <v>0</v>
      </c>
      <c r="H78" s="733">
        <f t="shared" si="10"/>
        <v>0</v>
      </c>
      <c r="I78" s="733">
        <f>SUM(I76:I77)</f>
        <v>0</v>
      </c>
      <c r="J78" s="733">
        <f>SUM(J76:J77)</f>
        <v>15171.428571428572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22036.646300066895</v>
      </c>
      <c r="C4" s="449">
        <f>huishoudens!C8</f>
        <v>0</v>
      </c>
      <c r="D4" s="449">
        <f>huishoudens!D8</f>
        <v>28742.548513158414</v>
      </c>
      <c r="E4" s="449">
        <f>huishoudens!E8</f>
        <v>1242.1016754549987</v>
      </c>
      <c r="F4" s="449">
        <f>huishoudens!F8</f>
        <v>37868.073895968824</v>
      </c>
      <c r="G4" s="449">
        <f>huishoudens!G8</f>
        <v>0</v>
      </c>
      <c r="H4" s="449">
        <f>huishoudens!H8</f>
        <v>0</v>
      </c>
      <c r="I4" s="449">
        <f>huishoudens!I8</f>
        <v>0</v>
      </c>
      <c r="J4" s="449">
        <f>huishoudens!J8</f>
        <v>687.10300586976541</v>
      </c>
      <c r="K4" s="449">
        <f>huishoudens!K8</f>
        <v>0</v>
      </c>
      <c r="L4" s="449">
        <f>huishoudens!L8</f>
        <v>0</v>
      </c>
      <c r="M4" s="449">
        <f>huishoudens!M8</f>
        <v>0</v>
      </c>
      <c r="N4" s="449">
        <f>huishoudens!N8</f>
        <v>6180.164779346379</v>
      </c>
      <c r="O4" s="449">
        <f>huishoudens!O8</f>
        <v>82.856666666666683</v>
      </c>
      <c r="P4" s="450">
        <f>huishoudens!P8</f>
        <v>419.4666666666667</v>
      </c>
      <c r="Q4" s="451">
        <f>SUM(B4:P4)</f>
        <v>97258.961503198618</v>
      </c>
    </row>
    <row r="5" spans="1:17">
      <c r="A5" s="448" t="s">
        <v>155</v>
      </c>
      <c r="B5" s="449">
        <f ca="1">tertiair!B16</f>
        <v>12237.502258632692</v>
      </c>
      <c r="C5" s="449">
        <f ca="1">tertiair!C16</f>
        <v>0</v>
      </c>
      <c r="D5" s="449">
        <f ca="1">tertiair!D16</f>
        <v>5244.686827309406</v>
      </c>
      <c r="E5" s="449">
        <f>tertiair!E16</f>
        <v>60.622855489094817</v>
      </c>
      <c r="F5" s="449">
        <f ca="1">tertiair!F16</f>
        <v>1598.8768908604084</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0</v>
      </c>
      <c r="Q5" s="448">
        <f t="shared" ref="Q5:Q14" ca="1" si="0">SUM(B5:P5)</f>
        <v>19141.688832291598</v>
      </c>
    </row>
    <row r="6" spans="1:17">
      <c r="A6" s="448" t="s">
        <v>193</v>
      </c>
      <c r="B6" s="449">
        <f>'openbare verlichting'!B8</f>
        <v>635.16800000000001</v>
      </c>
      <c r="C6" s="449"/>
      <c r="D6" s="449"/>
      <c r="E6" s="449"/>
      <c r="F6" s="449"/>
      <c r="G6" s="449"/>
      <c r="H6" s="449"/>
      <c r="I6" s="449"/>
      <c r="J6" s="449"/>
      <c r="K6" s="449"/>
      <c r="L6" s="449"/>
      <c r="M6" s="449"/>
      <c r="N6" s="449"/>
      <c r="O6" s="449"/>
      <c r="P6" s="450"/>
      <c r="Q6" s="448">
        <f t="shared" si="0"/>
        <v>635.16800000000001</v>
      </c>
    </row>
    <row r="7" spans="1:17">
      <c r="A7" s="448" t="s">
        <v>111</v>
      </c>
      <c r="B7" s="449">
        <f>landbouw!B8</f>
        <v>1254.812095547629</v>
      </c>
      <c r="C7" s="449">
        <f>landbouw!C8</f>
        <v>0</v>
      </c>
      <c r="D7" s="449">
        <f>landbouw!D8</f>
        <v>102.08984321497229</v>
      </c>
      <c r="E7" s="449">
        <f>landbouw!E8</f>
        <v>11.821170691741942</v>
      </c>
      <c r="F7" s="449">
        <f>landbouw!F8</f>
        <v>4094.8683033336965</v>
      </c>
      <c r="G7" s="449">
        <f>landbouw!G8</f>
        <v>0</v>
      </c>
      <c r="H7" s="449">
        <f>landbouw!H8</f>
        <v>0</v>
      </c>
      <c r="I7" s="449">
        <f>landbouw!I8</f>
        <v>0</v>
      </c>
      <c r="J7" s="449">
        <f>landbouw!J8</f>
        <v>155.22635962410209</v>
      </c>
      <c r="K7" s="449">
        <f>landbouw!K8</f>
        <v>0</v>
      </c>
      <c r="L7" s="449">
        <f>landbouw!L8</f>
        <v>0</v>
      </c>
      <c r="M7" s="449">
        <f>landbouw!M8</f>
        <v>0</v>
      </c>
      <c r="N7" s="449">
        <f>landbouw!N8</f>
        <v>0</v>
      </c>
      <c r="O7" s="449">
        <f>landbouw!O8</f>
        <v>0</v>
      </c>
      <c r="P7" s="450">
        <f>landbouw!P8</f>
        <v>0</v>
      </c>
      <c r="Q7" s="448">
        <f t="shared" si="0"/>
        <v>5618.8177724121415</v>
      </c>
    </row>
    <row r="8" spans="1:17">
      <c r="A8" s="448" t="s">
        <v>671</v>
      </c>
      <c r="B8" s="449">
        <f>industrie!B18</f>
        <v>22408.6042858322</v>
      </c>
      <c r="C8" s="449">
        <f>industrie!C18</f>
        <v>0</v>
      </c>
      <c r="D8" s="449">
        <f>industrie!D18</f>
        <v>65634.008990839167</v>
      </c>
      <c r="E8" s="449">
        <f>industrie!E18</f>
        <v>200.55900690265617</v>
      </c>
      <c r="F8" s="449">
        <f>industrie!F18</f>
        <v>4699.3024629100673</v>
      </c>
      <c r="G8" s="449">
        <f>industrie!G18</f>
        <v>0</v>
      </c>
      <c r="H8" s="449">
        <f>industrie!H18</f>
        <v>0</v>
      </c>
      <c r="I8" s="449">
        <f>industrie!I18</f>
        <v>0</v>
      </c>
      <c r="J8" s="449">
        <f>industrie!J18</f>
        <v>108.17182681444054</v>
      </c>
      <c r="K8" s="449">
        <f>industrie!K18</f>
        <v>0</v>
      </c>
      <c r="L8" s="449">
        <f>industrie!L18</f>
        <v>0</v>
      </c>
      <c r="M8" s="449">
        <f>industrie!M18</f>
        <v>0</v>
      </c>
      <c r="N8" s="449">
        <f>industrie!N18</f>
        <v>703.44712518186338</v>
      </c>
      <c r="O8" s="449">
        <f>industrie!O18</f>
        <v>0</v>
      </c>
      <c r="P8" s="450">
        <f>industrie!P18</f>
        <v>0</v>
      </c>
      <c r="Q8" s="448">
        <f t="shared" si="0"/>
        <v>93754.093698480399</v>
      </c>
    </row>
    <row r="9" spans="1:17" s="454" customFormat="1">
      <c r="A9" s="452" t="s">
        <v>568</v>
      </c>
      <c r="B9" s="453">
        <f>transport!B14</f>
        <v>4.3983515729700224</v>
      </c>
      <c r="C9" s="453">
        <f>transport!C14</f>
        <v>0</v>
      </c>
      <c r="D9" s="453">
        <f>transport!D14</f>
        <v>5.5472485188791412</v>
      </c>
      <c r="E9" s="453">
        <f>transport!E14</f>
        <v>399.11193540636862</v>
      </c>
      <c r="F9" s="453">
        <f>transport!F14</f>
        <v>0</v>
      </c>
      <c r="G9" s="453">
        <f>transport!G14</f>
        <v>86532.026832551361</v>
      </c>
      <c r="H9" s="453">
        <f>transport!H14</f>
        <v>13707.730509345311</v>
      </c>
      <c r="I9" s="453">
        <f>transport!I14</f>
        <v>0</v>
      </c>
      <c r="J9" s="453">
        <f>transport!J14</f>
        <v>0</v>
      </c>
      <c r="K9" s="453">
        <f>transport!K14</f>
        <v>0</v>
      </c>
      <c r="L9" s="453">
        <f>transport!L14</f>
        <v>0</v>
      </c>
      <c r="M9" s="453">
        <f>transport!M14</f>
        <v>4478.1871946411748</v>
      </c>
      <c r="N9" s="453">
        <f>transport!N14</f>
        <v>0</v>
      </c>
      <c r="O9" s="453">
        <f>transport!O14</f>
        <v>0</v>
      </c>
      <c r="P9" s="453">
        <f>transport!P14</f>
        <v>0</v>
      </c>
      <c r="Q9" s="452">
        <f>SUM(B9:P9)</f>
        <v>105127.00207203605</v>
      </c>
    </row>
    <row r="10" spans="1:17">
      <c r="A10" s="448" t="s">
        <v>558</v>
      </c>
      <c r="B10" s="449">
        <f>transport!B54</f>
        <v>3.8715215231447133</v>
      </c>
      <c r="C10" s="449">
        <f>transport!C54</f>
        <v>0</v>
      </c>
      <c r="D10" s="449">
        <f>transport!D54</f>
        <v>0</v>
      </c>
      <c r="E10" s="449">
        <f>transport!E54</f>
        <v>0</v>
      </c>
      <c r="F10" s="449">
        <f>transport!F54</f>
        <v>0</v>
      </c>
      <c r="G10" s="449">
        <f>transport!G54</f>
        <v>772.18260074889201</v>
      </c>
      <c r="H10" s="449">
        <f>transport!H54</f>
        <v>0</v>
      </c>
      <c r="I10" s="449">
        <f>transport!I54</f>
        <v>0</v>
      </c>
      <c r="J10" s="449">
        <f>transport!J54</f>
        <v>0</v>
      </c>
      <c r="K10" s="449">
        <f>transport!K54</f>
        <v>0</v>
      </c>
      <c r="L10" s="449">
        <f>transport!L54</f>
        <v>0</v>
      </c>
      <c r="M10" s="449">
        <f>transport!M54</f>
        <v>34.129648532465801</v>
      </c>
      <c r="N10" s="449">
        <f>transport!N54</f>
        <v>0</v>
      </c>
      <c r="O10" s="449">
        <f>transport!O54</f>
        <v>0</v>
      </c>
      <c r="P10" s="450">
        <f>transport!P54</f>
        <v>0</v>
      </c>
      <c r="Q10" s="448">
        <f t="shared" si="0"/>
        <v>810.1837708045025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562.79227632903405</v>
      </c>
      <c r="C14" s="456"/>
      <c r="D14" s="456">
        <f>'SEAP template'!E25</f>
        <v>654.53957583879503</v>
      </c>
      <c r="E14" s="456"/>
      <c r="F14" s="456"/>
      <c r="G14" s="456"/>
      <c r="H14" s="456"/>
      <c r="I14" s="456"/>
      <c r="J14" s="456"/>
      <c r="K14" s="456"/>
      <c r="L14" s="456"/>
      <c r="M14" s="456"/>
      <c r="N14" s="456"/>
      <c r="O14" s="456"/>
      <c r="P14" s="457"/>
      <c r="Q14" s="448">
        <f t="shared" si="0"/>
        <v>1217.3318521678291</v>
      </c>
    </row>
    <row r="15" spans="1:17" s="461" customFormat="1">
      <c r="A15" s="458" t="s">
        <v>562</v>
      </c>
      <c r="B15" s="459">
        <f ca="1">SUM(B4:B14)</f>
        <v>59143.795089504558</v>
      </c>
      <c r="C15" s="459">
        <f t="shared" ref="C15:Q15" ca="1" si="1">SUM(C4:C14)</f>
        <v>0</v>
      </c>
      <c r="D15" s="459">
        <f t="shared" ca="1" si="1"/>
        <v>100383.42099887964</v>
      </c>
      <c r="E15" s="459">
        <f t="shared" si="1"/>
        <v>1914.2166439448602</v>
      </c>
      <c r="F15" s="459">
        <f t="shared" ca="1" si="1"/>
        <v>48261.121553072997</v>
      </c>
      <c r="G15" s="459">
        <f t="shared" si="1"/>
        <v>87304.209433300246</v>
      </c>
      <c r="H15" s="459">
        <f t="shared" si="1"/>
        <v>13707.730509345311</v>
      </c>
      <c r="I15" s="459">
        <f t="shared" si="1"/>
        <v>0</v>
      </c>
      <c r="J15" s="459">
        <f t="shared" si="1"/>
        <v>950.50119230830808</v>
      </c>
      <c r="K15" s="459">
        <f t="shared" si="1"/>
        <v>0</v>
      </c>
      <c r="L15" s="459">
        <f t="shared" ca="1" si="1"/>
        <v>0</v>
      </c>
      <c r="M15" s="459">
        <f t="shared" si="1"/>
        <v>4512.3168431736403</v>
      </c>
      <c r="N15" s="459">
        <f t="shared" ca="1" si="1"/>
        <v>6883.6119045282421</v>
      </c>
      <c r="O15" s="459">
        <f t="shared" si="1"/>
        <v>82.856666666666683</v>
      </c>
      <c r="P15" s="459">
        <f t="shared" si="1"/>
        <v>419.4666666666667</v>
      </c>
      <c r="Q15" s="459">
        <f t="shared" ca="1" si="1"/>
        <v>323563.24750139116</v>
      </c>
    </row>
    <row r="17" spans="1:17">
      <c r="A17" s="462" t="s">
        <v>563</v>
      </c>
      <c r="B17" s="766">
        <f ca="1">huishoudens!B10</f>
        <v>0.19066647306185494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4201.6496281453301</v>
      </c>
      <c r="C22" s="449">
        <f t="shared" ref="C22:C32" ca="1" si="3">C4*$C$17</f>
        <v>0</v>
      </c>
      <c r="D22" s="449">
        <f t="shared" ref="D22:D32" si="4">D4*$D$17</f>
        <v>5805.9947996580004</v>
      </c>
      <c r="E22" s="449">
        <f t="shared" ref="E22:E32" si="5">E4*$E$17</f>
        <v>281.95708032828469</v>
      </c>
      <c r="F22" s="449">
        <f t="shared" ref="F22:F32" si="6">F4*$F$17</f>
        <v>10110.775730223677</v>
      </c>
      <c r="G22" s="449">
        <f t="shared" ref="G22:G32" si="7">G4*$G$17</f>
        <v>0</v>
      </c>
      <c r="H22" s="449">
        <f t="shared" ref="H22:H32" si="8">H4*$H$17</f>
        <v>0</v>
      </c>
      <c r="I22" s="449">
        <f t="shared" ref="I22:I32" si="9">I4*$I$17</f>
        <v>0</v>
      </c>
      <c r="J22" s="449">
        <f t="shared" ref="J22:J32" si="10">J4*$J$17</f>
        <v>243.23446407789694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20643.611702433191</v>
      </c>
    </row>
    <row r="23" spans="1:17">
      <c r="A23" s="448" t="s">
        <v>155</v>
      </c>
      <c r="B23" s="449">
        <f t="shared" ca="1" si="2"/>
        <v>2333.2813947399791</v>
      </c>
      <c r="C23" s="449">
        <f t="shared" ca="1" si="3"/>
        <v>0</v>
      </c>
      <c r="D23" s="449">
        <f t="shared" ca="1" si="4"/>
        <v>1059.4267391165001</v>
      </c>
      <c r="E23" s="449">
        <f t="shared" si="5"/>
        <v>13.761388196024525</v>
      </c>
      <c r="F23" s="449">
        <f t="shared" ca="1" si="6"/>
        <v>426.90012985972908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3833.3696519122332</v>
      </c>
    </row>
    <row r="24" spans="1:17">
      <c r="A24" s="448" t="s">
        <v>193</v>
      </c>
      <c r="B24" s="449">
        <f t="shared" ca="1" si="2"/>
        <v>121.10524236175227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121.10524236175227</v>
      </c>
    </row>
    <row r="25" spans="1:17">
      <c r="A25" s="448" t="s">
        <v>111</v>
      </c>
      <c r="B25" s="449">
        <f t="shared" ca="1" si="2"/>
        <v>239.25059661342175</v>
      </c>
      <c r="C25" s="449">
        <f t="shared" ca="1" si="3"/>
        <v>0</v>
      </c>
      <c r="D25" s="449">
        <f t="shared" si="4"/>
        <v>20.622148329424405</v>
      </c>
      <c r="E25" s="449">
        <f t="shared" si="5"/>
        <v>2.6834057470254211</v>
      </c>
      <c r="F25" s="449">
        <f t="shared" si="6"/>
        <v>1093.329836990097</v>
      </c>
      <c r="G25" s="449">
        <f t="shared" si="7"/>
        <v>0</v>
      </c>
      <c r="H25" s="449">
        <f t="shared" si="8"/>
        <v>0</v>
      </c>
      <c r="I25" s="449">
        <f t="shared" si="9"/>
        <v>0</v>
      </c>
      <c r="J25" s="449">
        <f t="shared" si="10"/>
        <v>54.950131306932136</v>
      </c>
      <c r="K25" s="449">
        <f t="shared" si="11"/>
        <v>0</v>
      </c>
      <c r="L25" s="449">
        <f t="shared" si="12"/>
        <v>0</v>
      </c>
      <c r="M25" s="449">
        <f t="shared" si="13"/>
        <v>0</v>
      </c>
      <c r="N25" s="449">
        <f t="shared" si="14"/>
        <v>0</v>
      </c>
      <c r="O25" s="449">
        <f t="shared" si="15"/>
        <v>0</v>
      </c>
      <c r="P25" s="450">
        <f t="shared" si="16"/>
        <v>0</v>
      </c>
      <c r="Q25" s="448">
        <f t="shared" ca="1" si="17"/>
        <v>1410.8361189869008</v>
      </c>
    </row>
    <row r="26" spans="1:17">
      <c r="A26" s="448" t="s">
        <v>671</v>
      </c>
      <c r="B26" s="449">
        <f t="shared" ca="1" si="2"/>
        <v>4272.5695454183924</v>
      </c>
      <c r="C26" s="449">
        <f t="shared" ca="1" si="3"/>
        <v>0</v>
      </c>
      <c r="D26" s="449">
        <f t="shared" si="4"/>
        <v>13258.069816149513</v>
      </c>
      <c r="E26" s="449">
        <f t="shared" si="5"/>
        <v>45.526894566902953</v>
      </c>
      <c r="F26" s="449">
        <f t="shared" si="6"/>
        <v>1254.713757596988</v>
      </c>
      <c r="G26" s="449">
        <f t="shared" si="7"/>
        <v>0</v>
      </c>
      <c r="H26" s="449">
        <f t="shared" si="8"/>
        <v>0</v>
      </c>
      <c r="I26" s="449">
        <f t="shared" si="9"/>
        <v>0</v>
      </c>
      <c r="J26" s="449">
        <f t="shared" si="10"/>
        <v>38.292826692311948</v>
      </c>
      <c r="K26" s="449">
        <f t="shared" si="11"/>
        <v>0</v>
      </c>
      <c r="L26" s="449">
        <f t="shared" si="12"/>
        <v>0</v>
      </c>
      <c r="M26" s="449">
        <f t="shared" si="13"/>
        <v>0</v>
      </c>
      <c r="N26" s="449">
        <f t="shared" si="14"/>
        <v>0</v>
      </c>
      <c r="O26" s="449">
        <f t="shared" si="15"/>
        <v>0</v>
      </c>
      <c r="P26" s="450">
        <f t="shared" si="16"/>
        <v>0</v>
      </c>
      <c r="Q26" s="448">
        <f t="shared" ca="1" si="17"/>
        <v>18869.172840424104</v>
      </c>
    </row>
    <row r="27" spans="1:17" s="454" customFormat="1">
      <c r="A27" s="452" t="s">
        <v>568</v>
      </c>
      <c r="B27" s="760">
        <f t="shared" ca="1" si="2"/>
        <v>0.83861818170425606</v>
      </c>
      <c r="C27" s="453">
        <f t="shared" ca="1" si="3"/>
        <v>0</v>
      </c>
      <c r="D27" s="453">
        <f t="shared" si="4"/>
        <v>1.1205442008135866</v>
      </c>
      <c r="E27" s="453">
        <f t="shared" si="5"/>
        <v>90.598409337245684</v>
      </c>
      <c r="F27" s="453">
        <f t="shared" si="6"/>
        <v>0</v>
      </c>
      <c r="G27" s="453">
        <f t="shared" si="7"/>
        <v>23104.051164291213</v>
      </c>
      <c r="H27" s="453">
        <f t="shared" si="8"/>
        <v>3413.2248968269823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26609.833632837959</v>
      </c>
    </row>
    <row r="28" spans="1:17">
      <c r="A28" s="448" t="s">
        <v>558</v>
      </c>
      <c r="B28" s="449">
        <f t="shared" ca="1" si="2"/>
        <v>0.73816935420106311</v>
      </c>
      <c r="C28" s="449">
        <f t="shared" ca="1" si="3"/>
        <v>0</v>
      </c>
      <c r="D28" s="449">
        <f t="shared" si="4"/>
        <v>0</v>
      </c>
      <c r="E28" s="449">
        <f t="shared" si="5"/>
        <v>0</v>
      </c>
      <c r="F28" s="449">
        <f t="shared" si="6"/>
        <v>0</v>
      </c>
      <c r="G28" s="449">
        <f t="shared" si="7"/>
        <v>206.17275439995419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206.91092375415525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107.3056183941098</v>
      </c>
      <c r="C32" s="449">
        <f t="shared" ca="1" si="3"/>
        <v>0</v>
      </c>
      <c r="D32" s="449">
        <f t="shared" si="4"/>
        <v>132.21699431943659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239.52261271354638</v>
      </c>
    </row>
    <row r="33" spans="1:17" s="461" customFormat="1">
      <c r="A33" s="458" t="s">
        <v>562</v>
      </c>
      <c r="B33" s="459">
        <f ca="1">SUM(B22:B32)</f>
        <v>11276.738813208891</v>
      </c>
      <c r="C33" s="459">
        <f t="shared" ref="C33:Q33" ca="1" si="18">SUM(C22:C32)</f>
        <v>0</v>
      </c>
      <c r="D33" s="459">
        <f t="shared" ca="1" si="18"/>
        <v>20277.451041773686</v>
      </c>
      <c r="E33" s="459">
        <f t="shared" si="18"/>
        <v>434.5271781754833</v>
      </c>
      <c r="F33" s="459">
        <f t="shared" ca="1" si="18"/>
        <v>12885.71945467049</v>
      </c>
      <c r="G33" s="459">
        <f t="shared" si="18"/>
        <v>23310.223918691168</v>
      </c>
      <c r="H33" s="459">
        <f t="shared" si="18"/>
        <v>3413.2248968269823</v>
      </c>
      <c r="I33" s="459">
        <f t="shared" si="18"/>
        <v>0</v>
      </c>
      <c r="J33" s="459">
        <f t="shared" si="18"/>
        <v>336.47742207714106</v>
      </c>
      <c r="K33" s="459">
        <f t="shared" si="18"/>
        <v>0</v>
      </c>
      <c r="L33" s="459">
        <f t="shared" ca="1" si="18"/>
        <v>0</v>
      </c>
      <c r="M33" s="459">
        <f t="shared" si="18"/>
        <v>0</v>
      </c>
      <c r="N33" s="459">
        <f t="shared" ca="1" si="18"/>
        <v>0</v>
      </c>
      <c r="O33" s="459">
        <f t="shared" si="18"/>
        <v>0</v>
      </c>
      <c r="P33" s="459">
        <f t="shared" si="18"/>
        <v>0</v>
      </c>
      <c r="Q33" s="459">
        <f t="shared" ca="1" si="18"/>
        <v>71934.362725423824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2807.8276089213487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5310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15171.428571428572</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8117.8276089213487</v>
      </c>
      <c r="C10" s="1019">
        <f>SUM(C4:C9)</f>
        <v>0</v>
      </c>
      <c r="D10" s="1019">
        <f t="shared" ref="D10:H10" si="0">SUM(D8:D9)</f>
        <v>0</v>
      </c>
      <c r="E10" s="1019">
        <f t="shared" si="0"/>
        <v>0</v>
      </c>
      <c r="F10" s="1019">
        <f t="shared" si="0"/>
        <v>0</v>
      </c>
      <c r="G10" s="1019">
        <f t="shared" si="0"/>
        <v>0</v>
      </c>
      <c r="H10" s="1019">
        <f t="shared" si="0"/>
        <v>0</v>
      </c>
      <c r="I10" s="1019">
        <f>SUM(I8:I9)</f>
        <v>0</v>
      </c>
      <c r="J10" s="1019">
        <f>SUM(J8:J9)</f>
        <v>15171.428571428572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0.19066647306185494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0.19066647306185494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0.19066647306185494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0.19066647306185494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4084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1454</v>
      </c>
      <c r="C14" s="327"/>
      <c r="D14" s="327"/>
      <c r="E14" s="327"/>
      <c r="F14" s="327"/>
    </row>
    <row r="15" spans="1:6">
      <c r="A15" s="1295" t="s">
        <v>183</v>
      </c>
      <c r="B15" s="1296">
        <v>7</v>
      </c>
      <c r="C15" s="327"/>
      <c r="D15" s="327"/>
      <c r="E15" s="327"/>
      <c r="F15" s="327"/>
    </row>
    <row r="16" spans="1:6">
      <c r="A16" s="1295" t="s">
        <v>6</v>
      </c>
      <c r="B16" s="1296">
        <v>234</v>
      </c>
      <c r="C16" s="327"/>
      <c r="D16" s="327"/>
      <c r="E16" s="327"/>
      <c r="F16" s="327"/>
    </row>
    <row r="17" spans="1:6">
      <c r="A17" s="1295" t="s">
        <v>7</v>
      </c>
      <c r="B17" s="1296">
        <v>350</v>
      </c>
      <c r="C17" s="327"/>
      <c r="D17" s="327"/>
      <c r="E17" s="327"/>
      <c r="F17" s="327"/>
    </row>
    <row r="18" spans="1:6">
      <c r="A18" s="1295" t="s">
        <v>8</v>
      </c>
      <c r="B18" s="1296">
        <v>463</v>
      </c>
      <c r="C18" s="327"/>
      <c r="D18" s="327"/>
      <c r="E18" s="327"/>
      <c r="F18" s="327"/>
    </row>
    <row r="19" spans="1:6">
      <c r="A19" s="1295" t="s">
        <v>9</v>
      </c>
      <c r="B19" s="1296">
        <v>494</v>
      </c>
      <c r="C19" s="327"/>
      <c r="D19" s="327"/>
      <c r="E19" s="327"/>
      <c r="F19" s="327"/>
    </row>
    <row r="20" spans="1:6">
      <c r="A20" s="1295" t="s">
        <v>10</v>
      </c>
      <c r="B20" s="1296">
        <v>472</v>
      </c>
      <c r="C20" s="327"/>
      <c r="D20" s="327"/>
      <c r="E20" s="327"/>
      <c r="F20" s="327"/>
    </row>
    <row r="21" spans="1:6">
      <c r="A21" s="1295" t="s">
        <v>11</v>
      </c>
      <c r="B21" s="1296">
        <v>0</v>
      </c>
      <c r="C21" s="327"/>
      <c r="D21" s="327"/>
      <c r="E21" s="327"/>
      <c r="F21" s="327"/>
    </row>
    <row r="22" spans="1:6">
      <c r="A22" s="1295" t="s">
        <v>12</v>
      </c>
      <c r="B22" s="1296">
        <v>107</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112</v>
      </c>
      <c r="C26" s="327"/>
      <c r="D26" s="327"/>
      <c r="E26" s="327"/>
      <c r="F26" s="327"/>
    </row>
    <row r="27" spans="1:6">
      <c r="A27" s="1295" t="s">
        <v>17</v>
      </c>
      <c r="B27" s="1296">
        <v>280</v>
      </c>
      <c r="C27" s="327"/>
      <c r="D27" s="327"/>
      <c r="E27" s="327"/>
      <c r="F27" s="327"/>
    </row>
    <row r="28" spans="1:6" s="44" customFormat="1">
      <c r="A28" s="1297" t="s">
        <v>18</v>
      </c>
      <c r="B28" s="1298">
        <v>16474</v>
      </c>
      <c r="C28" s="333"/>
      <c r="D28" s="333"/>
      <c r="E28" s="333"/>
      <c r="F28" s="333"/>
    </row>
    <row r="29" spans="1:6">
      <c r="A29" s="1297" t="s">
        <v>961</v>
      </c>
      <c r="B29" s="1298">
        <v>96</v>
      </c>
      <c r="C29" s="333"/>
      <c r="D29" s="333"/>
      <c r="E29" s="333"/>
      <c r="F29" s="333"/>
    </row>
    <row r="30" spans="1:6">
      <c r="A30" s="1290" t="s">
        <v>962</v>
      </c>
      <c r="B30" s="1299">
        <v>11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22318.1434136588</v>
      </c>
    </row>
    <row r="39" spans="1:6">
      <c r="A39" s="1295" t="s">
        <v>29</v>
      </c>
      <c r="B39" s="1295" t="s">
        <v>30</v>
      </c>
      <c r="C39" s="1296">
        <v>1762</v>
      </c>
      <c r="D39" s="1296">
        <v>31865353.118800901</v>
      </c>
      <c r="E39" s="1296">
        <v>3993</v>
      </c>
      <c r="F39" s="1296">
        <v>20487299.486713801</v>
      </c>
    </row>
    <row r="40" spans="1:6">
      <c r="A40" s="1295" t="s">
        <v>29</v>
      </c>
      <c r="B40" s="1295" t="s">
        <v>28</v>
      </c>
      <c r="C40" s="1296">
        <v>0</v>
      </c>
      <c r="D40" s="1296">
        <v>0</v>
      </c>
      <c r="E40" s="1296">
        <v>0</v>
      </c>
      <c r="F40" s="1296">
        <v>0</v>
      </c>
    </row>
    <row r="41" spans="1:6">
      <c r="A41" s="1295" t="s">
        <v>31</v>
      </c>
      <c r="B41" s="1295" t="s">
        <v>32</v>
      </c>
      <c r="C41" s="1296">
        <v>5</v>
      </c>
      <c r="D41" s="1296">
        <v>137528.423267412</v>
      </c>
      <c r="E41" s="1296">
        <v>70</v>
      </c>
      <c r="F41" s="1296">
        <v>540348.62846670102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27283.8405502518</v>
      </c>
    </row>
    <row r="45" spans="1:6">
      <c r="A45" s="1295" t="s">
        <v>31</v>
      </c>
      <c r="B45" s="1295" t="s">
        <v>36</v>
      </c>
      <c r="C45" s="1296">
        <v>0</v>
      </c>
      <c r="D45" s="1296">
        <v>0</v>
      </c>
      <c r="E45" s="1296">
        <v>5</v>
      </c>
      <c r="F45" s="1296">
        <v>34089.693045708998</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28</v>
      </c>
      <c r="D48" s="1296">
        <v>72627448.284979999</v>
      </c>
      <c r="E48" s="1296">
        <v>40</v>
      </c>
      <c r="F48" s="1296">
        <v>21366342.1277242</v>
      </c>
    </row>
    <row r="49" spans="1:6">
      <c r="A49" s="1295" t="s">
        <v>31</v>
      </c>
      <c r="B49" s="1295" t="s">
        <v>39</v>
      </c>
      <c r="C49" s="1296">
        <v>0</v>
      </c>
      <c r="D49" s="1296">
        <v>0</v>
      </c>
      <c r="E49" s="1296">
        <v>0</v>
      </c>
      <c r="F49" s="1296">
        <v>0</v>
      </c>
    </row>
    <row r="50" spans="1:6">
      <c r="A50" s="1295" t="s">
        <v>31</v>
      </c>
      <c r="B50" s="1295" t="s">
        <v>40</v>
      </c>
      <c r="C50" s="1296">
        <v>0</v>
      </c>
      <c r="D50" s="1296">
        <v>0</v>
      </c>
      <c r="E50" s="1296">
        <v>14</v>
      </c>
      <c r="F50" s="1296">
        <v>440539.996045337</v>
      </c>
    </row>
    <row r="51" spans="1:6">
      <c r="A51" s="1295" t="s">
        <v>41</v>
      </c>
      <c r="B51" s="1295" t="s">
        <v>42</v>
      </c>
      <c r="C51" s="1296">
        <v>4</v>
      </c>
      <c r="D51" s="1296">
        <v>76926.900837192996</v>
      </c>
      <c r="E51" s="1296">
        <v>72</v>
      </c>
      <c r="F51" s="1296">
        <v>1203622.4816582799</v>
      </c>
    </row>
    <row r="52" spans="1:6">
      <c r="A52" s="1295" t="s">
        <v>41</v>
      </c>
      <c r="B52" s="1295" t="s">
        <v>28</v>
      </c>
      <c r="C52" s="1296">
        <v>1</v>
      </c>
      <c r="D52" s="1296">
        <v>36254.743525304002</v>
      </c>
      <c r="E52" s="1296">
        <v>11</v>
      </c>
      <c r="F52" s="1296">
        <v>51189.613889349203</v>
      </c>
    </row>
    <row r="53" spans="1:6">
      <c r="A53" s="1295" t="s">
        <v>43</v>
      </c>
      <c r="B53" s="1295" t="s">
        <v>44</v>
      </c>
      <c r="C53" s="1296">
        <v>27</v>
      </c>
      <c r="D53" s="1296">
        <v>654539.57583879505</v>
      </c>
      <c r="E53" s="1296">
        <v>89</v>
      </c>
      <c r="F53" s="1296">
        <v>562792.27632903401</v>
      </c>
    </row>
    <row r="54" spans="1:6">
      <c r="A54" s="1295" t="s">
        <v>45</v>
      </c>
      <c r="B54" s="1295" t="s">
        <v>46</v>
      </c>
      <c r="C54" s="1296">
        <v>0</v>
      </c>
      <c r="D54" s="1296">
        <v>0</v>
      </c>
      <c r="E54" s="1296">
        <v>5</v>
      </c>
      <c r="F54" s="1296">
        <v>635168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16</v>
      </c>
      <c r="D57" s="1296">
        <v>503708.45351088501</v>
      </c>
      <c r="E57" s="1296">
        <v>78</v>
      </c>
      <c r="F57" s="1296">
        <v>1764294.09794757</v>
      </c>
    </row>
    <row r="58" spans="1:6">
      <c r="A58" s="1295" t="s">
        <v>48</v>
      </c>
      <c r="B58" s="1295" t="s">
        <v>50</v>
      </c>
      <c r="C58" s="1296">
        <v>11</v>
      </c>
      <c r="D58" s="1296">
        <v>207006.38124255999</v>
      </c>
      <c r="E58" s="1296">
        <v>25</v>
      </c>
      <c r="F58" s="1296">
        <v>607636.97211238102</v>
      </c>
    </row>
    <row r="59" spans="1:6">
      <c r="A59" s="1295" t="s">
        <v>48</v>
      </c>
      <c r="B59" s="1295" t="s">
        <v>51</v>
      </c>
      <c r="C59" s="1296">
        <v>6</v>
      </c>
      <c r="D59" s="1296">
        <v>217937.499779501</v>
      </c>
      <c r="E59" s="1296">
        <v>83</v>
      </c>
      <c r="F59" s="1296">
        <v>2063613.1513819599</v>
      </c>
    </row>
    <row r="60" spans="1:6">
      <c r="A60" s="1295" t="s">
        <v>48</v>
      </c>
      <c r="B60" s="1295" t="s">
        <v>52</v>
      </c>
      <c r="C60" s="1296">
        <v>21</v>
      </c>
      <c r="D60" s="1296">
        <v>474012.27535647701</v>
      </c>
      <c r="E60" s="1296">
        <v>31</v>
      </c>
      <c r="F60" s="1296">
        <v>435161.02176467399</v>
      </c>
    </row>
    <row r="61" spans="1:6">
      <c r="A61" s="1295" t="s">
        <v>48</v>
      </c>
      <c r="B61" s="1295" t="s">
        <v>53</v>
      </c>
      <c r="C61" s="1296">
        <v>39</v>
      </c>
      <c r="D61" s="1296">
        <v>2032271.3038405699</v>
      </c>
      <c r="E61" s="1296">
        <v>81</v>
      </c>
      <c r="F61" s="1296">
        <v>796204.43305402598</v>
      </c>
    </row>
    <row r="62" spans="1:6">
      <c r="A62" s="1295" t="s">
        <v>48</v>
      </c>
      <c r="B62" s="1295" t="s">
        <v>54</v>
      </c>
      <c r="C62" s="1296">
        <v>0</v>
      </c>
      <c r="D62" s="1296">
        <v>0</v>
      </c>
      <c r="E62" s="1296">
        <v>3</v>
      </c>
      <c r="F62" s="1296">
        <v>38161.776386190002</v>
      </c>
    </row>
    <row r="63" spans="1:6">
      <c r="A63" s="1295" t="s">
        <v>48</v>
      </c>
      <c r="B63" s="1295" t="s">
        <v>28</v>
      </c>
      <c r="C63" s="1296">
        <v>67</v>
      </c>
      <c r="D63" s="1296">
        <v>2379572.7639966202</v>
      </c>
      <c r="E63" s="1296">
        <v>110</v>
      </c>
      <c r="F63" s="1296">
        <v>1222430.8059858901</v>
      </c>
    </row>
    <row r="64" spans="1:6">
      <c r="A64" s="1295" t="s">
        <v>55</v>
      </c>
      <c r="B64" s="1295" t="s">
        <v>56</v>
      </c>
      <c r="C64" s="1296">
        <v>0</v>
      </c>
      <c r="D64" s="1296">
        <v>0</v>
      </c>
      <c r="E64" s="1296">
        <v>0</v>
      </c>
      <c r="F64" s="1296">
        <v>0</v>
      </c>
    </row>
    <row r="65" spans="1:6">
      <c r="A65" s="1295" t="s">
        <v>55</v>
      </c>
      <c r="B65" s="1295" t="s">
        <v>28</v>
      </c>
      <c r="C65" s="1296">
        <v>1</v>
      </c>
      <c r="D65" s="1296">
        <v>16575.500709746</v>
      </c>
      <c r="E65" s="1296">
        <v>2</v>
      </c>
      <c r="F65" s="1296">
        <v>50612.8464861916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466109.38018960098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10750616</v>
      </c>
      <c r="E73" s="447"/>
      <c r="F73" s="327"/>
    </row>
    <row r="74" spans="1:6">
      <c r="A74" s="1295" t="s">
        <v>63</v>
      </c>
      <c r="B74" s="1295" t="s">
        <v>755</v>
      </c>
      <c r="C74" s="1309" t="s">
        <v>749</v>
      </c>
      <c r="D74" s="1310">
        <v>686990.11793902249</v>
      </c>
      <c r="E74" s="447"/>
      <c r="F74" s="327"/>
    </row>
    <row r="75" spans="1:6">
      <c r="A75" s="1295" t="s">
        <v>64</v>
      </c>
      <c r="B75" s="1295" t="s">
        <v>754</v>
      </c>
      <c r="C75" s="1309" t="s">
        <v>750</v>
      </c>
      <c r="D75" s="1310">
        <v>25409479</v>
      </c>
      <c r="E75" s="447"/>
      <c r="F75" s="327"/>
    </row>
    <row r="76" spans="1:6">
      <c r="A76" s="1295" t="s">
        <v>64</v>
      </c>
      <c r="B76" s="1295" t="s">
        <v>755</v>
      </c>
      <c r="C76" s="1309" t="s">
        <v>751</v>
      </c>
      <c r="D76" s="1310">
        <v>998596.11793902249</v>
      </c>
      <c r="E76" s="447"/>
      <c r="F76" s="327"/>
    </row>
    <row r="77" spans="1:6">
      <c r="A77" s="1295" t="s">
        <v>65</v>
      </c>
      <c r="B77" s="1295" t="s">
        <v>754</v>
      </c>
      <c r="C77" s="1309" t="s">
        <v>752</v>
      </c>
      <c r="D77" s="1310">
        <v>68946866</v>
      </c>
      <c r="E77" s="447"/>
      <c r="F77" s="327"/>
    </row>
    <row r="78" spans="1:6">
      <c r="A78" s="1290" t="s">
        <v>65</v>
      </c>
      <c r="B78" s="1290" t="s">
        <v>755</v>
      </c>
      <c r="C78" s="1290" t="s">
        <v>753</v>
      </c>
      <c r="D78" s="1311">
        <v>8970748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213293.76412195506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1549.3468133530946</v>
      </c>
      <c r="C91" s="327"/>
      <c r="D91" s="327"/>
      <c r="E91" s="327"/>
      <c r="F91" s="327"/>
    </row>
    <row r="92" spans="1:6">
      <c r="A92" s="1290" t="s">
        <v>68</v>
      </c>
      <c r="B92" s="1291">
        <v>1258.4807955682543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484</v>
      </c>
      <c r="C97" s="327"/>
      <c r="D97" s="327"/>
      <c r="E97" s="327"/>
      <c r="F97" s="327"/>
    </row>
    <row r="98" spans="1:6">
      <c r="A98" s="1295" t="s">
        <v>71</v>
      </c>
      <c r="B98" s="1296">
        <v>1</v>
      </c>
      <c r="C98" s="327"/>
      <c r="D98" s="327"/>
      <c r="E98" s="327"/>
      <c r="F98" s="327"/>
    </row>
    <row r="99" spans="1:6">
      <c r="A99" s="1295" t="s">
        <v>72</v>
      </c>
      <c r="B99" s="1296">
        <v>64</v>
      </c>
      <c r="C99" s="327"/>
      <c r="D99" s="327"/>
      <c r="E99" s="327"/>
      <c r="F99" s="327"/>
    </row>
    <row r="100" spans="1:6">
      <c r="A100" s="1295" t="s">
        <v>73</v>
      </c>
      <c r="B100" s="1296">
        <v>466</v>
      </c>
      <c r="C100" s="327"/>
      <c r="D100" s="327"/>
      <c r="E100" s="327"/>
      <c r="F100" s="327"/>
    </row>
    <row r="101" spans="1:6">
      <c r="A101" s="1295" t="s">
        <v>74</v>
      </c>
      <c r="B101" s="1296">
        <v>58</v>
      </c>
      <c r="C101" s="327"/>
      <c r="D101" s="327"/>
      <c r="E101" s="327"/>
      <c r="F101" s="327"/>
    </row>
    <row r="102" spans="1:6">
      <c r="A102" s="1295" t="s">
        <v>75</v>
      </c>
      <c r="B102" s="1296">
        <v>82</v>
      </c>
      <c r="C102" s="327"/>
      <c r="D102" s="327"/>
      <c r="E102" s="327"/>
      <c r="F102" s="327"/>
    </row>
    <row r="103" spans="1:6">
      <c r="A103" s="1295" t="s">
        <v>76</v>
      </c>
      <c r="B103" s="1296">
        <v>363</v>
      </c>
      <c r="C103" s="327"/>
      <c r="D103" s="327"/>
      <c r="E103" s="327"/>
      <c r="F103" s="327"/>
    </row>
    <row r="104" spans="1:6">
      <c r="A104" s="1295" t="s">
        <v>77</v>
      </c>
      <c r="B104" s="1296">
        <v>2072</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38</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59143.795089504565</v>
      </c>
      <c r="C3" s="44" t="s">
        <v>169</v>
      </c>
      <c r="D3" s="44"/>
      <c r="E3" s="157"/>
      <c r="F3" s="44"/>
      <c r="G3" s="44"/>
      <c r="H3" s="44"/>
      <c r="I3" s="44"/>
      <c r="J3" s="44"/>
      <c r="K3" s="97"/>
    </row>
    <row r="4" spans="1:11">
      <c r="A4" s="354" t="s">
        <v>170</v>
      </c>
      <c r="B4" s="50">
        <f>IF(ISERROR('SEAP template'!B78+'SEAP template'!C78),0,'SEAP template'!B78+'SEAP template'!C78)</f>
        <v>8117.8276089213487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0.19066647306185494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635.16800000000001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635.16800000000001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0.19066647306185494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121.10524236175227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20487.2994867138</v>
      </c>
      <c r="C5" s="18">
        <f>IF(ISERROR('Eigen informatie GS &amp; warmtenet'!B57),0,'Eigen informatie GS &amp; warmtenet'!B57)</f>
        <v>0</v>
      </c>
      <c r="D5" s="31">
        <f>(SUM(HH_hh_gas_kWh,HH_rest_gas_kWh)/1000)*0.902</f>
        <v>28742.548513158414</v>
      </c>
      <c r="E5" s="18">
        <f>B32*B41</f>
        <v>1242.1016754549987</v>
      </c>
      <c r="F5" s="18">
        <f>B36*B45</f>
        <v>37868.073895968824</v>
      </c>
      <c r="G5" s="19"/>
      <c r="H5" s="18"/>
      <c r="I5" s="18"/>
      <c r="J5" s="18">
        <f>B35*B44+C35*C44</f>
        <v>687.10300586976541</v>
      </c>
      <c r="K5" s="18"/>
      <c r="L5" s="18"/>
      <c r="M5" s="18"/>
      <c r="N5" s="18">
        <f>B34*B43+C34*C43</f>
        <v>6180.164779346379</v>
      </c>
      <c r="O5" s="18">
        <f>B52*B53*B54</f>
        <v>82.856666666666683</v>
      </c>
      <c r="P5" s="18">
        <f>B60*B61*B62/1000-B60*B61*B62/1000/B63</f>
        <v>419.4666666666667</v>
      </c>
    </row>
    <row r="6" spans="1:16">
      <c r="A6" s="17" t="s">
        <v>628</v>
      </c>
      <c r="B6" s="768">
        <f>kWh_PV_kleiner_dan_10kW</f>
        <v>1549.3468133530946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22036.646300066895</v>
      </c>
      <c r="C8" s="22">
        <f>C5</f>
        <v>0</v>
      </c>
      <c r="D8" s="22">
        <f>D5</f>
        <v>28742.548513158414</v>
      </c>
      <c r="E8" s="22">
        <f>E5</f>
        <v>1242.1016754549987</v>
      </c>
      <c r="F8" s="22">
        <f>F5</f>
        <v>37868.073895968824</v>
      </c>
      <c r="G8" s="22"/>
      <c r="H8" s="22"/>
      <c r="I8" s="22"/>
      <c r="J8" s="22">
        <f>J5</f>
        <v>687.10300586976541</v>
      </c>
      <c r="K8" s="22"/>
      <c r="L8" s="22">
        <f>L5</f>
        <v>0</v>
      </c>
      <c r="M8" s="22">
        <f>M5</f>
        <v>0</v>
      </c>
      <c r="N8" s="22">
        <f>N5</f>
        <v>6180.164779346379</v>
      </c>
      <c r="O8" s="22">
        <f>O5</f>
        <v>82.856666666666683</v>
      </c>
      <c r="P8" s="22">
        <f>P5</f>
        <v>419.4666666666667</v>
      </c>
    </row>
    <row r="9" spans="1:16">
      <c r="B9" s="20"/>
      <c r="C9" s="20"/>
      <c r="D9" s="258"/>
      <c r="E9" s="20"/>
      <c r="F9" s="20"/>
      <c r="G9" s="20"/>
      <c r="H9" s="20"/>
      <c r="I9" s="20"/>
      <c r="J9" s="20"/>
      <c r="K9" s="20"/>
      <c r="L9" s="20"/>
      <c r="M9" s="20"/>
      <c r="N9" s="20"/>
      <c r="O9" s="20"/>
      <c r="P9" s="20"/>
    </row>
    <row r="10" spans="1:16">
      <c r="A10" s="25" t="s">
        <v>213</v>
      </c>
      <c r="B10" s="26">
        <f ca="1">'EF ele_warmte'!B12</f>
        <v>0.19066647306185494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4201.6496281453301</v>
      </c>
      <c r="C12" s="24">
        <f ca="1">C10*C8</f>
        <v>0</v>
      </c>
      <c r="D12" s="24">
        <f>D8*D10</f>
        <v>5805.9947996580004</v>
      </c>
      <c r="E12" s="24">
        <f>E10*E8</f>
        <v>281.95708032828469</v>
      </c>
      <c r="F12" s="24">
        <f>F10*F8</f>
        <v>10110.775730223677</v>
      </c>
      <c r="G12" s="24"/>
      <c r="H12" s="24"/>
      <c r="I12" s="24"/>
      <c r="J12" s="24">
        <f>J10*J8</f>
        <v>243.23446407789694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4084</v>
      </c>
      <c r="C26" s="37"/>
      <c r="D26" s="228"/>
    </row>
    <row r="27" spans="1:5" s="16" customFormat="1">
      <c r="A27" s="230" t="s">
        <v>654</v>
      </c>
      <c r="B27" s="38">
        <f>SUM(HH_hh_gas_aantal,HH_rest_gas_aantal)</f>
        <v>1762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1673.9</v>
      </c>
      <c r="C31" s="35" t="s">
        <v>110</v>
      </c>
      <c r="D31" s="174"/>
    </row>
    <row r="32" spans="1:5">
      <c r="A32" s="171" t="s">
        <v>72</v>
      </c>
      <c r="B32" s="34">
        <f>IF((B21*($B$26-($B$27-0.05*$B$27)-$B$60))&lt;0,0,B21*($B$26-($B$27-0.05*$B$27)-$B$60))</f>
        <v>58.688346930321408</v>
      </c>
      <c r="C32" s="35" t="s">
        <v>110</v>
      </c>
      <c r="D32" s="174"/>
    </row>
    <row r="33" spans="1:6">
      <c r="A33" s="171" t="s">
        <v>73</v>
      </c>
      <c r="B33" s="34">
        <f>IF((B22*($B$26-($B$27-0.05*$B$27)-$B$60))&lt;0,0,B22*($B$26-($B$27-0.05*$B$27)-$B$60))</f>
        <v>395.04140685289502</v>
      </c>
      <c r="C33" s="35" t="s">
        <v>110</v>
      </c>
      <c r="D33" s="174"/>
    </row>
    <row r="34" spans="1:6">
      <c r="A34" s="171" t="s">
        <v>74</v>
      </c>
      <c r="B34" s="34">
        <f>IF((B24*($B$26-($B$27-0.05*$B$27)-$B$60))&lt;0,0,B24*($B$26-($B$27-0.05*$B$27)-$B$60))</f>
        <v>100.19082749626344</v>
      </c>
      <c r="C34" s="34">
        <f>B26*C24</f>
        <v>835.18750620049104</v>
      </c>
      <c r="D34" s="233"/>
    </row>
    <row r="35" spans="1:6">
      <c r="A35" s="171" t="s">
        <v>76</v>
      </c>
      <c r="B35" s="34">
        <f>IF((B19*($B$26-($B$27-0.05*$B$27)-$B$60))&lt;0,0,B19*($B$26-($B$27-0.05*$B$27)-$B$60))</f>
        <v>37.247779034274984</v>
      </c>
      <c r="C35" s="34">
        <f>B35/2</f>
        <v>18.623889517137492</v>
      </c>
      <c r="D35" s="233"/>
    </row>
    <row r="36" spans="1:6">
      <c r="A36" s="171" t="s">
        <v>77</v>
      </c>
      <c r="B36" s="34">
        <f>IF((B18*($B$26-($B$27-0.05*$B$27)-$B$60))&lt;0,0,B18*($B$26-($B$27-0.05*$B$27)-$B$60))</f>
        <v>1796.9316396862444</v>
      </c>
      <c r="C36" s="35" t="s">
        <v>110</v>
      </c>
      <c r="D36" s="174"/>
    </row>
    <row r="37" spans="1:6">
      <c r="A37" s="171" t="s">
        <v>78</v>
      </c>
      <c r="B37" s="34">
        <f>B60</f>
        <v>22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6927.5022586326913</v>
      </c>
      <c r="C5" s="18">
        <f>IF(ISERROR('Eigen informatie GS &amp; warmtenet'!B58),0,'Eigen informatie GS &amp; warmtenet'!B58)</f>
        <v>0</v>
      </c>
      <c r="D5" s="31">
        <f>SUM(D6:D12)</f>
        <v>5244.686827309406</v>
      </c>
      <c r="E5" s="18">
        <f>SUM(E6:E12)</f>
        <v>60.622855489094817</v>
      </c>
      <c r="F5" s="18">
        <f>SUM(F6:F12)</f>
        <v>1598.8768908604084</v>
      </c>
      <c r="G5" s="19"/>
      <c r="H5" s="18"/>
      <c r="I5" s="18"/>
      <c r="J5" s="18">
        <f>SUM(J6:J12)</f>
        <v>0</v>
      </c>
      <c r="K5" s="18"/>
      <c r="L5" s="18"/>
      <c r="M5" s="18"/>
      <c r="N5" s="18">
        <f>SUM(N6:N12)</f>
        <v>1113.9971814894184</v>
      </c>
      <c r="O5" s="18">
        <f>B38*B39*B40</f>
        <v>0</v>
      </c>
      <c r="P5" s="18">
        <f>B46*B47*B48/1000-B46*B47*B48/1000/B49</f>
        <v>0</v>
      </c>
      <c r="R5" s="33"/>
    </row>
    <row r="6" spans="1:18">
      <c r="A6" s="33" t="s">
        <v>53</v>
      </c>
      <c r="B6" s="38">
        <f>B26</f>
        <v>796.20443305402603</v>
      </c>
      <c r="C6" s="34"/>
      <c r="D6" s="38">
        <f>IF(ISERROR(TER_kantoor_gas_kWh/1000),0,TER_kantoor_gas_kWh/1000)*0.902</f>
        <v>1833.1087160641941</v>
      </c>
      <c r="E6" s="34">
        <f>$C$26*'E Balans VL '!I12/100/3.6*1000000</f>
        <v>1.3067328460510872</v>
      </c>
      <c r="F6" s="34">
        <f>$C$26*('E Balans VL '!L12+'E Balans VL '!N12)/100/3.6*1000000</f>
        <v>93.853768984083473</v>
      </c>
      <c r="G6" s="35"/>
      <c r="H6" s="34"/>
      <c r="I6" s="34"/>
      <c r="J6" s="34">
        <f>$C$26*('E Balans VL '!D12+'E Balans VL '!E12)/100/3.6*1000000</f>
        <v>0</v>
      </c>
      <c r="K6" s="34"/>
      <c r="L6" s="34"/>
      <c r="M6" s="34"/>
      <c r="N6" s="34">
        <f>$C$26*'E Balans VL '!Y12/100/3.6*1000000</f>
        <v>0.16086933536190781</v>
      </c>
      <c r="O6" s="34"/>
      <c r="P6" s="34"/>
      <c r="R6" s="33"/>
    </row>
    <row r="7" spans="1:18">
      <c r="A7" s="33" t="s">
        <v>52</v>
      </c>
      <c r="B7" s="38">
        <f t="shared" ref="B7:B12" si="0">B27</f>
        <v>435.16102176467399</v>
      </c>
      <c r="C7" s="34"/>
      <c r="D7" s="38">
        <f>IF(ISERROR(TER_horeca_gas_kWh/1000),0,TER_horeca_gas_kWh/1000)*0.902</f>
        <v>427.55907237154224</v>
      </c>
      <c r="E7" s="34">
        <f>$C$27*'E Balans VL '!I9/100/3.6*1000000</f>
        <v>22.581708137049304</v>
      </c>
      <c r="F7" s="34">
        <f>$C$27*('E Balans VL '!L9+'E Balans VL '!N9)/100/3.6*1000000</f>
        <v>99.304060921100955</v>
      </c>
      <c r="G7" s="35"/>
      <c r="H7" s="34"/>
      <c r="I7" s="34"/>
      <c r="J7" s="34">
        <f>$C$27*('E Balans VL '!D9+'E Balans VL '!E9)/100/3.6*1000000</f>
        <v>0</v>
      </c>
      <c r="K7" s="34"/>
      <c r="L7" s="34"/>
      <c r="M7" s="34"/>
      <c r="N7" s="34">
        <f>$C$27*'E Balans VL '!Y9/100/3.6*1000000</f>
        <v>4.5952804477111128E-2</v>
      </c>
      <c r="O7" s="34"/>
      <c r="P7" s="34"/>
      <c r="R7" s="33"/>
    </row>
    <row r="8" spans="1:18">
      <c r="A8" s="6" t="s">
        <v>51</v>
      </c>
      <c r="B8" s="38">
        <f t="shared" si="0"/>
        <v>2063.6131513819601</v>
      </c>
      <c r="C8" s="34"/>
      <c r="D8" s="38">
        <f>IF(ISERROR(TER_handel_gas_kWh/1000),0,TER_handel_gas_kWh/1000)*0.902</f>
        <v>196.5796248011099</v>
      </c>
      <c r="E8" s="34">
        <f>$C$28*'E Balans VL '!I13/100/3.6*1000000</f>
        <v>11.112810404544074</v>
      </c>
      <c r="F8" s="34">
        <f>$C$28*('E Balans VL '!L13+'E Balans VL '!N13)/100/3.6*1000000</f>
        <v>420.83204662629106</v>
      </c>
      <c r="G8" s="35"/>
      <c r="H8" s="34"/>
      <c r="I8" s="34"/>
      <c r="J8" s="34">
        <f>$C$28*('E Balans VL '!D13+'E Balans VL '!E13)/100/3.6*1000000</f>
        <v>0</v>
      </c>
      <c r="K8" s="34"/>
      <c r="L8" s="34"/>
      <c r="M8" s="34"/>
      <c r="N8" s="34">
        <f>$C$28*'E Balans VL '!Y13/100/3.6*1000000</f>
        <v>10.261258438939581</v>
      </c>
      <c r="O8" s="34"/>
      <c r="P8" s="34"/>
      <c r="R8" s="33"/>
    </row>
    <row r="9" spans="1:18">
      <c r="A9" s="33" t="s">
        <v>50</v>
      </c>
      <c r="B9" s="38">
        <f t="shared" si="0"/>
        <v>607.63697211238105</v>
      </c>
      <c r="C9" s="34"/>
      <c r="D9" s="38">
        <f>IF(ISERROR(TER_gezond_gas_kWh/1000),0,TER_gezond_gas_kWh/1000)*0.902</f>
        <v>186.71975588078911</v>
      </c>
      <c r="E9" s="34">
        <f>$C$29*'E Balans VL '!I10/100/3.6*1000000</f>
        <v>0.60217514938241867</v>
      </c>
      <c r="F9" s="34">
        <f>$C$29*('E Balans VL '!L10+'E Balans VL '!N10)/100/3.6*1000000</f>
        <v>210.83251485920621</v>
      </c>
      <c r="G9" s="35"/>
      <c r="H9" s="34"/>
      <c r="I9" s="34"/>
      <c r="J9" s="34">
        <f>$C$29*('E Balans VL '!D10+'E Balans VL '!E10)/100/3.6*1000000</f>
        <v>0</v>
      </c>
      <c r="K9" s="34"/>
      <c r="L9" s="34"/>
      <c r="M9" s="34"/>
      <c r="N9" s="34">
        <f>$C$29*'E Balans VL '!Y10/100/3.6*1000000</f>
        <v>5.2359551493538623</v>
      </c>
      <c r="O9" s="34"/>
      <c r="P9" s="34"/>
      <c r="R9" s="33"/>
    </row>
    <row r="10" spans="1:18">
      <c r="A10" s="33" t="s">
        <v>49</v>
      </c>
      <c r="B10" s="38">
        <f t="shared" si="0"/>
        <v>1764.29409794757</v>
      </c>
      <c r="C10" s="34"/>
      <c r="D10" s="38">
        <f>IF(ISERROR(TER_ander_gas_kWh/1000),0,TER_ander_gas_kWh/1000)*0.902</f>
        <v>454.34502506681832</v>
      </c>
      <c r="E10" s="34">
        <f>$C$30*'E Balans VL '!I14/100/3.6*1000000</f>
        <v>14.433689007584581</v>
      </c>
      <c r="F10" s="34">
        <f>$C$30*('E Balans VL '!L14+'E Balans VL '!N14)/100/3.6*1000000</f>
        <v>515.80776685230308</v>
      </c>
      <c r="G10" s="35"/>
      <c r="H10" s="34"/>
      <c r="I10" s="34"/>
      <c r="J10" s="34">
        <f>$C$30*('E Balans VL '!D14+'E Balans VL '!E14)/100/3.6*1000000</f>
        <v>0</v>
      </c>
      <c r="K10" s="34"/>
      <c r="L10" s="34"/>
      <c r="M10" s="34"/>
      <c r="N10" s="34">
        <f>$C$30*'E Balans VL '!Y14/100/3.6*1000000</f>
        <v>1017.7661995700638</v>
      </c>
      <c r="O10" s="34"/>
      <c r="P10" s="34"/>
      <c r="R10" s="33"/>
    </row>
    <row r="11" spans="1:18">
      <c r="A11" s="33" t="s">
        <v>54</v>
      </c>
      <c r="B11" s="38">
        <f t="shared" si="0"/>
        <v>38.161776386189999</v>
      </c>
      <c r="C11" s="34"/>
      <c r="D11" s="38">
        <f>IF(ISERROR(TER_onderwijs_gas_kWh/1000),0,TER_onderwijs_gas_kWh/1000)*0.902</f>
        <v>0</v>
      </c>
      <c r="E11" s="34">
        <f>$C$31*'E Balans VL '!I11/100/3.6*1000000</f>
        <v>2.3521308759237684E-2</v>
      </c>
      <c r="F11" s="34">
        <f>$C$31*('E Balans VL '!L11+'E Balans VL '!N11)/100/3.6*1000000</f>
        <v>14.753960768250092</v>
      </c>
      <c r="G11" s="35"/>
      <c r="H11" s="34"/>
      <c r="I11" s="34"/>
      <c r="J11" s="34">
        <f>$C$31*('E Balans VL '!D11+'E Balans VL '!E11)/100/3.6*1000000</f>
        <v>0</v>
      </c>
      <c r="K11" s="34"/>
      <c r="L11" s="34"/>
      <c r="M11" s="34"/>
      <c r="N11" s="34">
        <f>$C$31*'E Balans VL '!Y11/100/3.6*1000000</f>
        <v>0.12413208069020631</v>
      </c>
      <c r="O11" s="34"/>
      <c r="P11" s="34"/>
      <c r="R11" s="33"/>
    </row>
    <row r="12" spans="1:18">
      <c r="A12" s="33" t="s">
        <v>255</v>
      </c>
      <c r="B12" s="38">
        <f t="shared" si="0"/>
        <v>1222.4308059858902</v>
      </c>
      <c r="C12" s="34"/>
      <c r="D12" s="38">
        <f>IF(ISERROR(TER_rest_gas_kWh/1000),0,TER_rest_gas_kWh/1000)*0.902</f>
        <v>2146.3746331249517</v>
      </c>
      <c r="E12" s="34">
        <f>$C$32*'E Balans VL '!I8/100/3.6*1000000</f>
        <v>10.562218635724115</v>
      </c>
      <c r="F12" s="34">
        <f>$C$32*('E Balans VL '!L8+'E Balans VL '!N8)/100/3.6*1000000</f>
        <v>243.49277184917349</v>
      </c>
      <c r="G12" s="35"/>
      <c r="H12" s="34"/>
      <c r="I12" s="34"/>
      <c r="J12" s="34">
        <f>$C$32*('E Balans VL '!D8+'E Balans VL '!E8)/100/3.6*1000000</f>
        <v>0</v>
      </c>
      <c r="K12" s="34"/>
      <c r="L12" s="34"/>
      <c r="M12" s="34"/>
      <c r="N12" s="34">
        <f>$C$32*'E Balans VL '!Y8/100/3.6*1000000</f>
        <v>80.402814110531921</v>
      </c>
      <c r="O12" s="34"/>
      <c r="P12" s="34"/>
      <c r="R12" s="33"/>
    </row>
    <row r="13" spans="1:18">
      <c r="A13" s="17" t="s">
        <v>495</v>
      </c>
      <c r="B13" s="246">
        <f ca="1">'lokale energieproductie'!N38+'lokale energieproductie'!N31</f>
        <v>5310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-15171.428571428572</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12237.502258632692</v>
      </c>
      <c r="C16" s="22">
        <f t="shared" ca="1" si="1"/>
        <v>0</v>
      </c>
      <c r="D16" s="22">
        <f t="shared" ca="1" si="1"/>
        <v>5244.686827309406</v>
      </c>
      <c r="E16" s="22">
        <f t="shared" si="1"/>
        <v>60.622855489094817</v>
      </c>
      <c r="F16" s="22">
        <f t="shared" ca="1" si="1"/>
        <v>1598.8768908604084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0.19066647306185494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2333.2813947399791</v>
      </c>
      <c r="C20" s="24">
        <f t="shared" ref="C20:P20" ca="1" si="2">C16*C18</f>
        <v>0</v>
      </c>
      <c r="D20" s="24">
        <f t="shared" ca="1" si="2"/>
        <v>1059.4267391165001</v>
      </c>
      <c r="E20" s="24">
        <f t="shared" si="2"/>
        <v>13.761388196024525</v>
      </c>
      <c r="F20" s="24">
        <f t="shared" ca="1" si="2"/>
        <v>426.90012985972908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796.20443305402603</v>
      </c>
      <c r="C26" s="40">
        <f>IF(ISERROR(B26*3.6/1000000/'E Balans VL '!Z12*100),0,B26*3.6/1000000/'E Balans VL '!Z12*100)</f>
        <v>1.6918773219481979E-2</v>
      </c>
      <c r="D26" s="236" t="s">
        <v>691</v>
      </c>
      <c r="F26" s="6"/>
    </row>
    <row r="27" spans="1:18">
      <c r="A27" s="231" t="s">
        <v>52</v>
      </c>
      <c r="B27" s="34">
        <f>IF(ISERROR(TER_horeca_ele_kWh/1000),0,TER_horeca_ele_kWh/1000)</f>
        <v>435.16102176467399</v>
      </c>
      <c r="C27" s="40">
        <f>IF(ISERROR(B27*3.6/1000000/'E Balans VL '!Z9*100),0,B27*3.6/1000000/'E Balans VL '!Z9*100)</f>
        <v>3.4250537498467924E-2</v>
      </c>
      <c r="D27" s="236" t="s">
        <v>691</v>
      </c>
      <c r="F27" s="6"/>
    </row>
    <row r="28" spans="1:18">
      <c r="A28" s="171" t="s">
        <v>51</v>
      </c>
      <c r="B28" s="34">
        <f>IF(ISERROR(TER_handel_ele_kWh/1000),0,TER_handel_ele_kWh/1000)</f>
        <v>2063.6131513819601</v>
      </c>
      <c r="C28" s="40">
        <f>IF(ISERROR(B28*3.6/1000000/'E Balans VL '!Z13*100),0,B28*3.6/1000000/'E Balans VL '!Z13*100)</f>
        <v>5.7802908772365838E-2</v>
      </c>
      <c r="D28" s="236" t="s">
        <v>691</v>
      </c>
      <c r="F28" s="6"/>
    </row>
    <row r="29" spans="1:18">
      <c r="A29" s="231" t="s">
        <v>50</v>
      </c>
      <c r="B29" s="34">
        <f>IF(ISERROR(TER_gezond_ele_kWh/1000),0,TER_gezond_ele_kWh/1000)</f>
        <v>607.63697211238105</v>
      </c>
      <c r="C29" s="40">
        <f>IF(ISERROR(B29*3.6/1000000/'E Balans VL '!Z10*100),0,B29*3.6/1000000/'E Balans VL '!Z10*100)</f>
        <v>7.773514293520041E-2</v>
      </c>
      <c r="D29" s="236" t="s">
        <v>691</v>
      </c>
      <c r="F29" s="6"/>
    </row>
    <row r="30" spans="1:18">
      <c r="A30" s="231" t="s">
        <v>49</v>
      </c>
      <c r="B30" s="34">
        <f>IF(ISERROR(TER_ander_ele_kWh/1000),0,TER_ander_ele_kWh/1000)</f>
        <v>1764.29409794757</v>
      </c>
      <c r="C30" s="40">
        <f>IF(ISERROR(B30*3.6/1000000/'E Balans VL '!Z14*100),0,B30*3.6/1000000/'E Balans VL '!Z14*100)</f>
        <v>0.13195433232471274</v>
      </c>
      <c r="D30" s="236" t="s">
        <v>691</v>
      </c>
      <c r="F30" s="6"/>
    </row>
    <row r="31" spans="1:18">
      <c r="A31" s="231" t="s">
        <v>54</v>
      </c>
      <c r="B31" s="34">
        <f>IF(ISERROR(TER_onderwijs_ele_kWh/1000),0,TER_onderwijs_ele_kWh/1000)</f>
        <v>38.161776386189999</v>
      </c>
      <c r="C31" s="40">
        <f>IF(ISERROR(B31*3.6/1000000/'E Balans VL '!Z11*100),0,B31*3.6/1000000/'E Balans VL '!Z11*100)</f>
        <v>8.0579085160796069E-3</v>
      </c>
      <c r="D31" s="236" t="s">
        <v>691</v>
      </c>
    </row>
    <row r="32" spans="1:18">
      <c r="A32" s="231" t="s">
        <v>255</v>
      </c>
      <c r="B32" s="34">
        <f>IF(ISERROR(TER_rest_ele_kWh/1000),0,TER_rest_ele_kWh/1000)</f>
        <v>1222.4308059858902</v>
      </c>
      <c r="C32" s="40">
        <f>IF(ISERROR(B32*3.6/1000000/'E Balans VL '!Z8*100),0,B32*3.6/1000000/'E Balans VL '!Z8*100)</f>
        <v>1.0070301934412421E-2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22408.6042858322</v>
      </c>
      <c r="C5" s="18">
        <f>IF(ISERROR('Eigen informatie GS &amp; warmtenet'!B59),0,'Eigen informatie GS &amp; warmtenet'!B59)</f>
        <v>0</v>
      </c>
      <c r="D5" s="31">
        <f>SUM(D6:D15)</f>
        <v>65634.008990839167</v>
      </c>
      <c r="E5" s="18">
        <f>SUM(E6:E15)</f>
        <v>200.55900690265617</v>
      </c>
      <c r="F5" s="18">
        <f>SUM(F6:F15)</f>
        <v>4699.3024629100673</v>
      </c>
      <c r="G5" s="19"/>
      <c r="H5" s="18"/>
      <c r="I5" s="18"/>
      <c r="J5" s="18">
        <f>SUM(J6:J15)</f>
        <v>108.17182681444054</v>
      </c>
      <c r="K5" s="18"/>
      <c r="L5" s="18"/>
      <c r="M5" s="18"/>
      <c r="N5" s="18">
        <f>SUM(N6:N15)</f>
        <v>703.44712518186338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27.283840550251799</v>
      </c>
      <c r="C8" s="34"/>
      <c r="D8" s="38">
        <f>IF( ISERROR(IND_metaal_Gas_kWH/1000),0,IND_metaal_Gas_kWH/1000)*0.902</f>
        <v>0</v>
      </c>
      <c r="E8" s="34">
        <f>C30*'E Balans VL '!I18/100/3.6*1000000</f>
        <v>0.24846901900599958</v>
      </c>
      <c r="F8" s="34">
        <f>C30*'E Balans VL '!L18/100/3.6*1000000+C30*'E Balans VL '!N18/100/3.6*1000000</f>
        <v>3.5985313715343521</v>
      </c>
      <c r="G8" s="35"/>
      <c r="H8" s="34"/>
      <c r="I8" s="34"/>
      <c r="J8" s="41">
        <f>C30*'E Balans VL '!D18/100/3.6*1000000+C30*'E Balans VL '!E18/100/3.6*1000000</f>
        <v>0.44741537031413348</v>
      </c>
      <c r="K8" s="34"/>
      <c r="L8" s="34"/>
      <c r="M8" s="34"/>
      <c r="N8" s="34">
        <f>C30*'E Balans VL '!Y18/100/3.6*1000000</f>
        <v>9.3763721493359639E-2</v>
      </c>
      <c r="O8" s="34"/>
      <c r="P8" s="34"/>
      <c r="R8" s="33"/>
    </row>
    <row r="9" spans="1:18">
      <c r="A9" s="6" t="s">
        <v>32</v>
      </c>
      <c r="B9" s="38">
        <f t="shared" si="0"/>
        <v>540.34862846670103</v>
      </c>
      <c r="C9" s="34"/>
      <c r="D9" s="38">
        <f>IF( ISERROR(IND_andere_gas_kWh/1000),0,IND_andere_gas_kWh/1000)*0.902</f>
        <v>124.05063778720562</v>
      </c>
      <c r="E9" s="34">
        <f>C31*'E Balans VL '!I19/100/3.6*1000000</f>
        <v>3.123295820961113</v>
      </c>
      <c r="F9" s="34">
        <f>C31*'E Balans VL '!L19/100/3.6*1000000+C31*'E Balans VL '!N19/100/3.6*1000000</f>
        <v>429.87333449238304</v>
      </c>
      <c r="G9" s="35"/>
      <c r="H9" s="34"/>
      <c r="I9" s="34"/>
      <c r="J9" s="41">
        <f>C31*'E Balans VL '!D19/100/3.6*1000000+C31*'E Balans VL '!E19/100/3.6*1000000</f>
        <v>5.1110978230384983E-2</v>
      </c>
      <c r="K9" s="34"/>
      <c r="L9" s="34"/>
      <c r="M9" s="34"/>
      <c r="N9" s="34">
        <f>C31*'E Balans VL '!Y19/100/3.6*1000000</f>
        <v>40.939585868169566</v>
      </c>
      <c r="O9" s="34"/>
      <c r="P9" s="34"/>
      <c r="R9" s="33"/>
    </row>
    <row r="10" spans="1:18">
      <c r="A10" s="6" t="s">
        <v>40</v>
      </c>
      <c r="B10" s="38">
        <f t="shared" si="0"/>
        <v>440.53999604533698</v>
      </c>
      <c r="C10" s="34"/>
      <c r="D10" s="38">
        <f>IF( ISERROR(IND_voed_gas_kWh/1000),0,IND_voed_gas_kWh/1000)*0.902</f>
        <v>0</v>
      </c>
      <c r="E10" s="34">
        <f>C32*'E Balans VL '!I20/100/3.6*1000000</f>
        <v>4.3316606804154985</v>
      </c>
      <c r="F10" s="34">
        <f>C32*'E Balans VL '!L20/100/3.6*1000000+C32*'E Balans VL '!N20/100/3.6*1000000</f>
        <v>48.92771677274331</v>
      </c>
      <c r="G10" s="35"/>
      <c r="H10" s="34"/>
      <c r="I10" s="34"/>
      <c r="J10" s="41">
        <f>C32*'E Balans VL '!D20/100/3.6*1000000+C32*'E Balans VL '!E20/100/3.6*1000000</f>
        <v>1.7363681175388305E-3</v>
      </c>
      <c r="K10" s="34"/>
      <c r="L10" s="34"/>
      <c r="M10" s="34"/>
      <c r="N10" s="34">
        <f>C32*'E Balans VL '!Y20/100/3.6*1000000</f>
        <v>6.5233610821310046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34.089693045708998</v>
      </c>
      <c r="C12" s="34"/>
      <c r="D12" s="38">
        <f>IF( ISERROR(IND_min_gas_kWh/1000),0,IND_min_gas_kWh/1000)*0.902</f>
        <v>0</v>
      </c>
      <c r="E12" s="34">
        <f>C34*'E Balans VL '!I22/100/3.6*1000000</f>
        <v>0.86423438114970408</v>
      </c>
      <c r="F12" s="34">
        <f>C34*'E Balans VL '!L22/100/3.6*1000000+C34*'E Balans VL '!N22/100/3.6*1000000</f>
        <v>9.4327368884502967</v>
      </c>
      <c r="G12" s="35"/>
      <c r="H12" s="34"/>
      <c r="I12" s="34"/>
      <c r="J12" s="41">
        <f>C34*'E Balans VL '!D22/100/3.6*1000000+C34*'E Balans VL '!E22/100/3.6*1000000</f>
        <v>0.22513518322930934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21366.342127724201</v>
      </c>
      <c r="C15" s="34"/>
      <c r="D15" s="38">
        <f>IF( ISERROR(IND_rest_gas_kWh/1000),0,IND_rest_gas_kWh/1000)*0.902</f>
        <v>65509.958353051959</v>
      </c>
      <c r="E15" s="34">
        <f>C37*'E Balans VL '!I15/100/3.6*1000000</f>
        <v>191.99134700112384</v>
      </c>
      <c r="F15" s="34">
        <f>C37*'E Balans VL '!L15/100/3.6*1000000+C37*'E Balans VL '!N15/100/3.6*1000000</f>
        <v>4207.4701433849559</v>
      </c>
      <c r="G15" s="35"/>
      <c r="H15" s="34"/>
      <c r="I15" s="34"/>
      <c r="J15" s="41">
        <f>C37*'E Balans VL '!D15/100/3.6*1000000+C37*'E Balans VL '!E15/100/3.6*1000000</f>
        <v>107.44642891454917</v>
      </c>
      <c r="K15" s="34"/>
      <c r="L15" s="34"/>
      <c r="M15" s="34"/>
      <c r="N15" s="34">
        <f>C37*'E Balans VL '!Y15/100/3.6*1000000</f>
        <v>655.89041451006949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22408.6042858322</v>
      </c>
      <c r="C18" s="22">
        <f>C5+C16</f>
        <v>0</v>
      </c>
      <c r="D18" s="22">
        <f>MAX((D5+D16),0)</f>
        <v>65634.008990839167</v>
      </c>
      <c r="E18" s="22">
        <f>MAX((E5+E16),0)</f>
        <v>200.55900690265617</v>
      </c>
      <c r="F18" s="22">
        <f>MAX((F5+F16),0)</f>
        <v>4699.3024629100673</v>
      </c>
      <c r="G18" s="22"/>
      <c r="H18" s="22"/>
      <c r="I18" s="22"/>
      <c r="J18" s="22">
        <f>MAX((J5+J16),0)</f>
        <v>108.17182681444054</v>
      </c>
      <c r="K18" s="22"/>
      <c r="L18" s="22">
        <f>MAX((L5+L16),0)</f>
        <v>0</v>
      </c>
      <c r="M18" s="22"/>
      <c r="N18" s="22">
        <f>MAX((N5+N16),0)</f>
        <v>703.44712518186338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0.19066647306185494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4272.5695454183924</v>
      </c>
      <c r="C22" s="24">
        <f ca="1">C18*C20</f>
        <v>0</v>
      </c>
      <c r="D22" s="24">
        <f>D18*D20</f>
        <v>13258.069816149513</v>
      </c>
      <c r="E22" s="24">
        <f>E18*E20</f>
        <v>45.526894566902953</v>
      </c>
      <c r="F22" s="24">
        <f>F18*F20</f>
        <v>1254.713757596988</v>
      </c>
      <c r="G22" s="24"/>
      <c r="H22" s="24"/>
      <c r="I22" s="24"/>
      <c r="J22" s="24">
        <f>J18*J20</f>
        <v>38.292826692311948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27.283840550251799</v>
      </c>
      <c r="C30" s="40">
        <f>IF(ISERROR(B30*3.6/1000000/'E Balans VL '!Z18*100),0,B30*3.6/1000000/'E Balans VL '!Z18*100)</f>
        <v>1.5181632811450876E-3</v>
      </c>
      <c r="D30" s="236" t="s">
        <v>691</v>
      </c>
    </row>
    <row r="31" spans="1:18">
      <c r="A31" s="6" t="s">
        <v>32</v>
      </c>
      <c r="B31" s="38">
        <f>IF( ISERROR(IND_ander_ele_kWh/1000),0,IND_ander_ele_kWh/1000)</f>
        <v>540.34862846670103</v>
      </c>
      <c r="C31" s="40">
        <f>IF(ISERROR(B31*3.6/1000000/'E Balans VL '!Z19*100),0,B31*3.6/1000000/'E Balans VL '!Z19*100)</f>
        <v>2.5119388618346204E-2</v>
      </c>
      <c r="D31" s="236" t="s">
        <v>691</v>
      </c>
    </row>
    <row r="32" spans="1:18">
      <c r="A32" s="171" t="s">
        <v>40</v>
      </c>
      <c r="B32" s="38">
        <f>IF( ISERROR(IND_voed_ele_kWh/1000),0,IND_voed_ele_kWh/1000)</f>
        <v>440.53999604533698</v>
      </c>
      <c r="C32" s="40">
        <f>IF(ISERROR(B32*3.6/1000000/'E Balans VL '!Z20*100),0,B32*3.6/1000000/'E Balans VL '!Z20*100)</f>
        <v>1.5572199152001117E-2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34.089693045708998</v>
      </c>
      <c r="C34" s="40">
        <f>IF(ISERROR(B34*3.6/1000000/'E Balans VL '!Z22*100),0,B34*3.6/1000000/'E Balans VL '!Z22*100)</f>
        <v>6.8510670053201694E-3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21366.342127724201</v>
      </c>
      <c r="C37" s="40">
        <f>IF(ISERROR(B37*3.6/1000000/'E Balans VL '!Z15*100),0,B37*3.6/1000000/'E Balans VL '!Z15*100)</f>
        <v>0.16134744592441724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1254.812095547629</v>
      </c>
      <c r="C5" s="18">
        <f>'Eigen informatie GS &amp; warmtenet'!B60</f>
        <v>0</v>
      </c>
      <c r="D5" s="31">
        <f>IF(ISERROR(SUM(LB_lb_gas_kWh,LB_rest_gas_kWh)/1000),0,SUM(LB_lb_gas_kWh,LB_rest_gas_kWh)/1000)*0.902</f>
        <v>102.08984321497229</v>
      </c>
      <c r="E5" s="18">
        <f>B17*'E Balans VL '!I25/3.6*1000000/100</f>
        <v>11.821170691741942</v>
      </c>
      <c r="F5" s="18">
        <f>B17*('E Balans VL '!L25/3.6*1000000+'E Balans VL '!N25/3.6*1000000)/100</f>
        <v>4094.8683033336965</v>
      </c>
      <c r="G5" s="19"/>
      <c r="H5" s="18"/>
      <c r="I5" s="18"/>
      <c r="J5" s="18">
        <f>('E Balans VL '!D25+'E Balans VL '!E25)/3.6*1000000*landbouw!B17/100</f>
        <v>155.22635962410209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1254.812095547629</v>
      </c>
      <c r="C8" s="22">
        <f>C5+C6</f>
        <v>0</v>
      </c>
      <c r="D8" s="22">
        <f>MAX((D5+D6),0)</f>
        <v>102.08984321497229</v>
      </c>
      <c r="E8" s="22">
        <f>MAX((E5+E6),0)</f>
        <v>11.821170691741942</v>
      </c>
      <c r="F8" s="22">
        <f>MAX((F5+F6),0)</f>
        <v>4094.8683033336965</v>
      </c>
      <c r="G8" s="22"/>
      <c r="H8" s="22"/>
      <c r="I8" s="22"/>
      <c r="J8" s="22">
        <f>MAX((J5+J6),0)</f>
        <v>155.22635962410209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0.19066647306185494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239.25059661342175</v>
      </c>
      <c r="C12" s="24">
        <f ca="1">C8*C10</f>
        <v>0</v>
      </c>
      <c r="D12" s="24">
        <f>D8*D10</f>
        <v>20.622148329424405</v>
      </c>
      <c r="E12" s="24">
        <f>E8*E10</f>
        <v>2.6834057470254211</v>
      </c>
      <c r="F12" s="24">
        <f>F8*F10</f>
        <v>1093.329836990097</v>
      </c>
      <c r="G12" s="24"/>
      <c r="H12" s="24"/>
      <c r="I12" s="24"/>
      <c r="J12" s="24">
        <f>J8*J10</f>
        <v>54.950131306932136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0.16988150648084005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115.11704069143894</v>
      </c>
      <c r="C26" s="246">
        <f>B26*'GWP N2O_CH4'!B5</f>
        <v>2417.457854520218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13.438941940178095</v>
      </c>
      <c r="C27" s="246">
        <f>B27*'GWP N2O_CH4'!B5</f>
        <v>282.21778074373998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1.903781025808075</v>
      </c>
      <c r="C28" s="246">
        <f>B28*'GWP N2O_CH4'!B4</f>
        <v>590.17211800050325</v>
      </c>
      <c r="D28" s="51"/>
    </row>
    <row r="29" spans="1:4">
      <c r="A29" s="42" t="s">
        <v>272</v>
      </c>
      <c r="B29" s="246">
        <f>B34*'ha_N2O bodem landbouw'!B4</f>
        <v>8.0193404979202381</v>
      </c>
      <c r="C29" s="246">
        <f>B29*'GWP N2O_CH4'!B4</f>
        <v>2485.9955543552737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2.1649694834597224E-3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1.5834065662692082E-5</v>
      </c>
      <c r="C5" s="435" t="s">
        <v>210</v>
      </c>
      <c r="D5" s="420">
        <f>SUM(D6:D11)</f>
        <v>1.9970094667964911E-5</v>
      </c>
      <c r="E5" s="420">
        <f>SUM(E6:E11)</f>
        <v>1.4368029674629271E-3</v>
      </c>
      <c r="F5" s="433" t="s">
        <v>210</v>
      </c>
      <c r="G5" s="420">
        <f>SUM(G6:G11)</f>
        <v>0.31151529659718491</v>
      </c>
      <c r="H5" s="420">
        <f>SUM(H6:H11)</f>
        <v>4.9347829833643116E-2</v>
      </c>
      <c r="I5" s="435" t="s">
        <v>210</v>
      </c>
      <c r="J5" s="435" t="s">
        <v>210</v>
      </c>
      <c r="K5" s="435" t="s">
        <v>210</v>
      </c>
      <c r="L5" s="435" t="s">
        <v>210</v>
      </c>
      <c r="M5" s="420">
        <f>SUM(M6:M11)</f>
        <v>1.6121473900708228E-2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1.509422127924881E-6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1.7579959864692213E-6</v>
      </c>
      <c r="E6" s="423">
        <f>vkm_GW_PW*SUMIFS(TableVerdeelsleutelVkm[LPG],TableVerdeelsleutelVkm[Voertuigtype],"Lichte voertuigen")*SUMIFS(TableECFTransport[EnergieConsumptieFactor (PJ per km)],TableECFTransport[Index],CONCATENATE($A6,"_LPG_LPG"))</f>
        <v>1.1405426206870174E-4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1.7794609213272135E-2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4.2884980049971268E-3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9.8822048617239872E-4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4.02127763386838E-8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6.6520806561135822E-3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1.7849902827018833E-7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2.9599588888608362E-4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3.7248884122519207E-6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7.085378684069849E-6</v>
      </c>
      <c r="E8" s="423">
        <f>vkm_NGW_PW*SUMIFS(TableVerdeelsleutelVkm[LPG],TableVerdeelsleutelVkm[Voertuigtype],"Lichte voertuigen")*SUMIFS(TableECFTransport[EnergieConsumptieFactor (PJ per km)],TableECFTransport[Index],CONCATENATE($A8,"_LPG_LPG"))</f>
        <v>4.3553086459452401E-4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6.3969798456962948E-2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1.647604343490585E-2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3.6010755848664699E-3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5.8452547270736888E-8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1.2399435522601617E-2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3.1317831696956053E-7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5.5173353633566566E-4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9.9759895485603162E-6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1.1126719997425841E-5</v>
      </c>
      <c r="E10" s="423">
        <f>vkm_SW_PW*SUMIFS(TableVerdeelsleutelVkm[LPG],TableVerdeelsleutelVkm[Voertuigtype],"Lichte voertuigen")*SUMIFS(TableECFTransport[EnergieConsumptieFactor (PJ per km)],TableECFTransport[Index],CONCATENATE($A10,"_LPG_LPG"))</f>
        <v>8.872178407997015E-4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0.12933325049646868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2.8580397637873699E-2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7.0639115134553416E-3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5.251002503455434E-7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8.1366122251765954E-2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2.3990785212000577E-6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3.6205368909922693E-3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4.3983515729700224</v>
      </c>
      <c r="C14" s="22"/>
      <c r="D14" s="22">
        <f t="shared" ref="D14:M14" si="0">((D5)*10^9/3600)+D12</f>
        <v>5.5472485188791412</v>
      </c>
      <c r="E14" s="22">
        <f t="shared" si="0"/>
        <v>399.11193540636862</v>
      </c>
      <c r="F14" s="22"/>
      <c r="G14" s="22">
        <f t="shared" si="0"/>
        <v>86532.026832551361</v>
      </c>
      <c r="H14" s="22">
        <f t="shared" si="0"/>
        <v>13707.730509345311</v>
      </c>
      <c r="I14" s="22"/>
      <c r="J14" s="22"/>
      <c r="K14" s="22"/>
      <c r="L14" s="22"/>
      <c r="M14" s="22">
        <f t="shared" si="0"/>
        <v>4478.1871946411748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0.19066647306185494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0.83861818170425606</v>
      </c>
      <c r="C18" s="24"/>
      <c r="D18" s="24">
        <f t="shared" ref="D18:M18" si="1">D14*D16</f>
        <v>1.1205442008135866</v>
      </c>
      <c r="E18" s="24">
        <f t="shared" si="1"/>
        <v>90.598409337245684</v>
      </c>
      <c r="F18" s="24"/>
      <c r="G18" s="24">
        <f t="shared" si="1"/>
        <v>23104.051164291213</v>
      </c>
      <c r="H18" s="24">
        <f t="shared" si="1"/>
        <v>3413.2248968269823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1.3937477483320969E-5</v>
      </c>
      <c r="C50" s="316">
        <f t="shared" ref="C50:P50" si="2">SUM(C51:C52)</f>
        <v>0</v>
      </c>
      <c r="D50" s="316">
        <f t="shared" si="2"/>
        <v>0</v>
      </c>
      <c r="E50" s="316">
        <f t="shared" si="2"/>
        <v>0</v>
      </c>
      <c r="F50" s="316">
        <f t="shared" si="2"/>
        <v>0</v>
      </c>
      <c r="G50" s="316">
        <f t="shared" si="2"/>
        <v>2.779857362696011E-3</v>
      </c>
      <c r="H50" s="316">
        <f t="shared" si="2"/>
        <v>0</v>
      </c>
      <c r="I50" s="316">
        <f t="shared" si="2"/>
        <v>0</v>
      </c>
      <c r="J50" s="316">
        <f t="shared" si="2"/>
        <v>0</v>
      </c>
      <c r="K50" s="316">
        <f t="shared" si="2"/>
        <v>0</v>
      </c>
      <c r="L50" s="316">
        <f t="shared" si="2"/>
        <v>0</v>
      </c>
      <c r="M50" s="316">
        <f t="shared" si="2"/>
        <v>1.2286673471687687E-4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1.3937477483320969E-5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2.779857362696011E-3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1.2286673471687687E-4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3.8715215231447133</v>
      </c>
      <c r="C54" s="22">
        <f t="shared" ref="C54:P54" si="3">(C50)*10^9/3600</f>
        <v>0</v>
      </c>
      <c r="D54" s="22">
        <f t="shared" si="3"/>
        <v>0</v>
      </c>
      <c r="E54" s="22">
        <f t="shared" si="3"/>
        <v>0</v>
      </c>
      <c r="F54" s="22">
        <f t="shared" si="3"/>
        <v>0</v>
      </c>
      <c r="G54" s="22">
        <f t="shared" si="3"/>
        <v>772.18260074889201</v>
      </c>
      <c r="H54" s="22">
        <f t="shared" si="3"/>
        <v>0</v>
      </c>
      <c r="I54" s="22">
        <f t="shared" si="3"/>
        <v>0</v>
      </c>
      <c r="J54" s="22">
        <f t="shared" si="3"/>
        <v>0</v>
      </c>
      <c r="K54" s="22">
        <f t="shared" si="3"/>
        <v>0</v>
      </c>
      <c r="L54" s="22">
        <f t="shared" si="3"/>
        <v>0</v>
      </c>
      <c r="M54" s="22">
        <f t="shared" si="3"/>
        <v>34.129648532465801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0.19066647306185494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0.73816935420106311</v>
      </c>
      <c r="C58" s="24">
        <f t="shared" ref="C58:P58" ca="1" si="4">C54*C56</f>
        <v>0</v>
      </c>
      <c r="D58" s="24">
        <f t="shared" si="4"/>
        <v>0</v>
      </c>
      <c r="E58" s="24">
        <f t="shared" si="4"/>
        <v>0</v>
      </c>
      <c r="F58" s="24">
        <f t="shared" si="4"/>
        <v>0</v>
      </c>
      <c r="G58" s="24">
        <f t="shared" si="4"/>
        <v>206.17275439995419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2807.8276089213487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5310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8117.8276089213487</v>
      </c>
      <c r="C10" s="558">
        <f t="shared" ref="C10:L10" si="0">SUM(C8:C9)</f>
        <v>0</v>
      </c>
      <c r="D10" s="558">
        <f t="shared" si="0"/>
        <v>0</v>
      </c>
      <c r="E10" s="558">
        <f t="shared" si="0"/>
        <v>0</v>
      </c>
      <c r="F10" s="558">
        <f t="shared" si="0"/>
        <v>0</v>
      </c>
      <c r="G10" s="558">
        <f t="shared" si="0"/>
        <v>0</v>
      </c>
      <c r="H10" s="558">
        <f t="shared" si="0"/>
        <v>0</v>
      </c>
      <c r="I10" s="558">
        <f t="shared" si="0"/>
        <v>0</v>
      </c>
      <c r="J10" s="558">
        <f t="shared" si="0"/>
        <v>15171.428571428572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41063</v>
      </c>
      <c r="C35" s="777">
        <v>9520</v>
      </c>
      <c r="D35" s="632" t="s">
        <v>965</v>
      </c>
      <c r="E35" s="632" t="s">
        <v>966</v>
      </c>
      <c r="F35" s="632" t="s">
        <v>967</v>
      </c>
      <c r="G35" s="632" t="s">
        <v>968</v>
      </c>
      <c r="H35" s="632" t="s">
        <v>969</v>
      </c>
      <c r="I35" s="632" t="s">
        <v>970</v>
      </c>
      <c r="J35" s="776">
        <v>37288</v>
      </c>
      <c r="K35" s="776">
        <v>37408</v>
      </c>
      <c r="L35" s="632" t="s">
        <v>971</v>
      </c>
      <c r="M35" s="632">
        <v>1180</v>
      </c>
      <c r="N35" s="632">
        <v>5310</v>
      </c>
      <c r="O35" s="632">
        <v>0</v>
      </c>
      <c r="P35" s="632">
        <v>0</v>
      </c>
      <c r="Q35" s="632">
        <v>0</v>
      </c>
      <c r="R35" s="632">
        <v>15171.428571428572</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1180</v>
      </c>
      <c r="N36" s="587">
        <f>SUM(N35:N35)</f>
        <v>5310</v>
      </c>
      <c r="O36" s="587">
        <f>SUM(O35:O35)</f>
        <v>0</v>
      </c>
      <c r="P36" s="587">
        <f>SUM(P35:P35)</f>
        <v>0</v>
      </c>
      <c r="Q36" s="587">
        <f>SUM(Q35:Q35)</f>
        <v>0</v>
      </c>
      <c r="R36" s="587">
        <f>SUM(R35:R35)</f>
        <v>15171.428571428572</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1180</v>
      </c>
      <c r="N38" s="587">
        <f>SUMIF($Z$35:$Z$36,"tertiair",N35:N36)</f>
        <v>5310</v>
      </c>
      <c r="O38" s="587">
        <f>SUMIF($Z$35:$Z$36,"tertiair",O35:O36)</f>
        <v>0</v>
      </c>
      <c r="P38" s="587">
        <f>SUMIF($Z$35:$Z$36,"tertiair",P35:P36)</f>
        <v>0</v>
      </c>
      <c r="Q38" s="587">
        <f>SUMIF($Z$35:$Z$36,"tertiair",Q35:Q36)</f>
        <v>0</v>
      </c>
      <c r="R38" s="587">
        <f>SUMIF($Z$35:$Z$36,"tertiair",R35:R36)</f>
        <v>15171.428571428572</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2021-06-29T16:45:33Z</dcterms:modified>
</cp:coreProperties>
</file>