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<sst xmlns="http://schemas.openxmlformats.org/spreadsheetml/2006/main" count="2574" uniqueCount="971">
  <si>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</si>
  <si>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</si>
  <si>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</si>
  <si>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</si>
  <si>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</si>
  <si>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</si>
  <si>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</si>
  <si>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</si>
  <si>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</si>
  <si>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</si>
  <si>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</si>
  <si>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</si>
  <si>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</si>
  <si>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</si>
  <si>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</si>
  <si>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</si>
  <si>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</si>
  <si>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</si>
  <si>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</si>
  <si>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</si>
  <si>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</si>
  <si>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</si>
  <si>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</si>
  <si>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</si>
  <si>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</si>
  <si>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</si>
  <si>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</si>
  <si>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</si>
  <si>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</si>
  <si>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</si>
  <si>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</si>
  <si>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</si>
  <si>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</si>
  <si>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</si>
  <si>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</si>
  <si>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</si>
  <si>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</si>
  <si>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</si>
  <si>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</si>
  <si>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</si>
  <si>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</si>
  <si>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</si>
  <si>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</si>
  <si>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</si>
  <si>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</si>
  <si>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</si>
  <si>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</si>
  <si>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</si>
  <si>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</si>
  <si>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</si>
  <si>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</si>
  <si>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</si>
  <si>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</si>
  <si>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</si>
  <si>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</si>
  <si>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</si>
  <si>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</si>
  <si>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</si>
  <si>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</si>
  <si>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</si>
  <si>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</si>
  <si>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</si>
  <si>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</si>
  <si>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</si>
  <si>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</si>
  <si>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</si>
  <si>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</si>
  <si>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</si>
  <si>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</si>
  <si>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</si>
  <si>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</si>
  <si>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</si>
  <si>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</si>
  <si>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</si>
  <si>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</si>
  <si>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</si>
  <si>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</si>
  <si>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</si>
  <si>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</si>
  <si>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</si>
  <si>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</si>
  <si>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</si>
  <si>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</si>
  <si>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</si>
  <si>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</si>
  <si>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</si>
  <si>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</si>
  <si>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</si>
  <si>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</si>
  <si>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</si>
  <si>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</si>
  <si>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</si>
  <si>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</si>
  <si>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</si>
  <si>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</si>
  <si>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</si>
  <si>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</si>
  <si>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</si>
  <si>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</si>
  <si>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</si>
  <si>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</si>
  <si>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</si>
  <si>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</si>
  <si>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</si>
  <si>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</si>
  <si>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</si>
  <si>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</si>
  <si>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</si>
  <si>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</si>
  <si>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</si>
  <si>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</si>
  <si>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</si>
  <si>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</si>
  <si>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</si>
  <si>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</si>
  <si>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</si>
  <si>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</si>
  <si>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</si>
  <si>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</si>
  <si>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</si>
  <si>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</si>
  <si>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</si>
  <si>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</si>
  <si>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</si>
  <si>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</si>
  <si>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</si>
  <si>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</si>
  <si>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</si>
  <si>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</si>
  <si>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</si>
  <si>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</si>
  <si>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</si>
  <si>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</si>
  <si>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</si>
  <si>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</si>
  <si>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</si>
  <si>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</si>
  <si>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</si>
  <si>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</si>
  <si>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</si>
  <si>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</si>
  <si>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</si>
  <si>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</si>
  <si>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</si>
  <si>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</si>
  <si>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</si>
  <si>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</si>
  <si>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</si>
  <si>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</si>
  <si>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</si>
  <si>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</si>
  <si>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</si>
  <si>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</si>
  <si>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</si>
  <si>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</si>
  <si>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</si>
  <si>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</si>
  <si>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</si>
  <si>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</si>
  <si>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</si>
  <si>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</si>
  <si>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</si>
  <si>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</si>
  <si>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</si>
  <si>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</si>
  <si>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</si>
  <si>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</si>
  <si>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</si>
  <si>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</si>
  <si>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</si>
  <si>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</si>
  <si>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</si>
  <si>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</si>
  <si>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</si>
  <si>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</si>
  <si>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</si>
  <si>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</si>
  <si>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</si>
  <si>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</si>
  <si>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</si>
  <si>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</si>
  <si>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</si>
  <si>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</si>
  <si>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</si>
  <si>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</si>
  <si>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</si>
  <si>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</si>
  <si>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</si>
  <si>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</si>
  <si>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</si>
  <si>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</si>
  <si>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</si>
  <si>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</si>
  <si>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</si>
  <si>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</si>
  <si>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</si>
  <si>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</si>
  <si>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</si>
  <si>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</si>
  <si>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</si>
  <si>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</si>
  <si>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</si>
  <si>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</si>
  <si>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</si>
  <si>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</si>
  <si>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</si>
  <si>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</si>
  <si>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</si>
  <si>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</si>
  <si>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</si>
  <si>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</si>
  <si>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</si>
  <si>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</si>
  <si>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</si>
  <si>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</si>
  <si>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</si>
  <si>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</si>
  <si>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</si>
  <si>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</si>
  <si>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</si>
  <si>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</si>
  <si>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</si>
  <si>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</si>
  <si>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</si>
  <si>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</si>
  <si>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</si>
  <si>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</si>
  <si>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</si>
  <si>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</si>
  <si>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</si>
  <si>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</si>
  <si>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</si>
  <si>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</si>
  <si>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</si>
  <si>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</si>
  <si>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</si>
  <si>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</si>
  <si>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</si>
  <si>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</si>
  <si>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</si>
  <si>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</si>
  <si>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</si>
  <si>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</si>
  <si>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</si>
  <si>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</si>
  <si>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</si>
  <si>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</si>
  <si>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</si>
  <si>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</si>
  <si>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</si>
  <si>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</si>
  <si>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</si>
  <si>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</si>
  <si>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</si>
  <si>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</si>
  <si>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</si>
  <si>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</si>
  <si>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</si>
  <si>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</si>
  <si>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</si>
  <si>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</si>
  <si>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</si>
  <si>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</si>
  <si>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</si>
  <si>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</si>
  <si>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</si>
  <si>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</si>
  <si>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</si>
  <si>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</si>
  <si>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</si>
  <si>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</si>
  <si>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</si>
  <si>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</si>
  <si>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</si>
  <si>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</si>
  <si>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</si>
  <si>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</si>
  <si>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</si>
  <si>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</si>
  <si>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</si>
  <si>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</si>
  <si>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</si>
  <si>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</si>
  <si>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</si>
  <si>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</si>
  <si>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</si>
  <si>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</si>
  <si>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</si>
  <si>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</si>
  <si>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</si>
  <si>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</si>
  <si>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</si>
  <si>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</si>
  <si>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</si>
  <si>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</si>
  <si>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</si>
  <si>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</si>
  <si>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</si>
  <si>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</si>
  <si>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</si>
  <si>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</si>
  <si>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</si>
  <si>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</si>
  <si>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</si>
  <si>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</si>
  <si>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</si>
  <si>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</si>
  <si>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</si>
  <si>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</si>
  <si>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</si>
  <si>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</si>
  <si>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</si>
  <si>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</si>
  <si>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</si>
  <si>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</si>
  <si>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</si>
  <si>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</si>
  <si>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</si>
  <si>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</si>
  <si>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</si>
  <si>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</si>
  <si>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</si>
  <si>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</si>
  <si>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</si>
  <si>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</si>
  <si>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</si>
  <si>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</si>
  <si>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</si>
  <si>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</si>
  <si>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</si>
  <si>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</si>
  <si>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</si>
  <si>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</si>
  <si>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</si>
  <si>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</si>
  <si>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</si>
  <si>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</si>
  <si>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</si>
  <si>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</si>
  <si>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</si>
  <si>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</si>
  <si>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</si>
  <si>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</si>
  <si>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</si>
  <si>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</si>
  <si>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</si>
  <si>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</si>
  <si>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</si>
  <si>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</si>
  <si>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</si>
  <si>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</si>
  <si>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</si>
  <si>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</si>
  <si>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</si>
  <si>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</si>
  <si>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</si>
  <si>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</si>
  <si>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</si>
  <si>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</si>
  <si>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</si>
  <si>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</si>
  <si>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</si>
  <si>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</si>
  <si>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</si>
  <si>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</si>
  <si>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</si>
  <si>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</si>
  <si>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</si>
  <si>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</si>
  <si>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</si>
  <si>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</si>
  <si>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</si>
  <si>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</si>
  <si>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</si>
  <si>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</si>
  <si>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</si>
  <si>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</si>
  <si>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</si>
  <si>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</si>
  <si>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</si>
  <si>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</si>
  <si>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</si>
  <si>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</si>
  <si>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</si>
  <si>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</si>
  <si>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</si>
  <si>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</si>
  <si>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</si>
  <si>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</si>
  <si>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</si>
  <si>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</si>
  <si>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</si>
  <si>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</si>
  <si>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</si>
  <si>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</si>
  <si>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</si>
  <si>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</si>
  <si>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</si>
  <si>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</si>
  <si>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</si>
  <si>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</si>
  <si>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</si>
  <si>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</si>
  <si>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</si>
  <si>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</si>
  <si>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</si>
  <si>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</si>
  <si>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</si>
  <si>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</si>
  <si>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</si>
  <si>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</si>
  <si>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</si>
  <si>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</si>
  <si>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</si>
  <si>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</si>
  <si>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</si>
  <si>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</si>
  <si>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</si>
  <si>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</si>
  <si>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</si>
  <si>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</si>
  <si>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</si>
  <si>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</si>
  <si>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</si>
  <si>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</si>
  <si>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</si>
  <si>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</si>
  <si>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</si>
  <si>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</si>
  <si>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</si>
  <si>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</si>
  <si>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</si>
  <si>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</si>
  <si>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</si>
  <si>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</si>
  <si>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</si>
  <si>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</si>
  <si>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</si>
  <si>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</si>
  <si>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</si>
  <si>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</si>
  <si>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</si>
  <si>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</si>
  <si>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</si>
  <si>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</si>
  <si>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</si>
  <si>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</si>
  <si>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</si>
  <si>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</si>
  <si>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</si>
  <si>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</si>
  <si>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</si>
  <si>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</si>
  <si>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</si>
  <si>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</si>
  <si>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</si>
  <si>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</si>
  <si>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</si>
  <si>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</si>
  <si>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</si>
  <si>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</si>
  <si>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</si>
  <si>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</si>
  <si>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</si>
  <si>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</si>
  <si>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</si>
  <si>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</si>
  <si>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</si>
  <si>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</si>
  <si>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</si>
  <si>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</si>
  <si>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</si>
  <si>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</si>
  <si>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</si>
  <si>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</si>
  <si>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</si>
  <si>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</si>
  <si>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</si>
  <si>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</si>
  <si>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</si>
  <si>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</si>
  <si>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</si>
  <si>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</si>
  <si>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</si>
  <si>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</si>
  <si>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</si>
  <si>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</si>
  <si>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</si>
  <si>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</si>
  <si>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</si>
  <si>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</si>
  <si>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</si>
  <si>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</si>
  <si>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</si>
  <si>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</si>
  <si>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</si>
  <si>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</si>
  <si>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</si>
  <si>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</si>
  <si>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</si>
  <si>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</si>
  <si>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</si>
  <si>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</si>
  <si>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</si>
  <si>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</si>
  <si>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</si>
  <si>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</si>
  <si>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</si>
  <si>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</si>
  <si>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</si>
  <si>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</si>
  <si>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</si>
  <si>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</si>
  <si>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</si>
  <si>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</si>
  <si>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</si>
  <si>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</si>
  <si>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</si>
  <si>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</si>
  <si>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</si>
  <si>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</si>
  <si>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</si>
  <si>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</si>
  <si>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</si>
  <si>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</si>
  <si>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</si>
  <si>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</si>
  <si>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</si>
  <si>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</si>
  <si>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</si>
  <si>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</si>
  <si>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</si>
  <si>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</si>
  <si>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</si>
  <si>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</si>
  <si>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</si>
  <si>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</si>
  <si>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</si>
  <si>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</si>
  <si>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</si>
  <si>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</si>
  <si>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</si>
  <si>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</si>
  <si>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</si>
  <si>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</si>
  <si>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</si>
  <si>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</si>
  <si>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</si>
  <si>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</si>
  <si>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</si>
  <si>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</si>
  <si>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</si>
  <si>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</si>
  <si>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</si>
  <si>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</si>
  <si>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</si>
  <si>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</si>
  <si>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</si>
  <si>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</si>
  <si>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</si>
  <si>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</si>
  <si>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</si>
  <si>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</si>
  <si>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</si>
  <si>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</si>
  <si>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</si>
  <si>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</si>
  <si>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</si>
  <si>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</si>
  <si>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</si>
  <si>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</si>
  <si>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</si>
  <si>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</si>
  <si>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</si>
  <si>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</si>
  <si>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</si>
  <si>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</si>
  <si>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</si>
  <si>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</si>
  <si>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</si>
  <si>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</si>
  <si>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</si>
  <si>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</si>
  <si>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</si>
  <si>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</si>
  <si>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</si>
  <si>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</si>
  <si>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</si>
  <si>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</si>
  <si>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</si>
  <si>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</si>
  <si>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</si>
  <si>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</si>
  <si>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</si>
  <si>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</si>
  <si>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</si>
  <si>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</si>
  <si>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</si>
  <si>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</si>
  <si>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</si>
  <si>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</si>
  <si>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</si>
  <si>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</si>
  <si>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</si>
  <si>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</si>
  <si>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</si>
  <si>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</si>
  <si>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</si>
  <si>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</si>
  <si>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</si>
  <si>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</si>
  <si>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</si>
  <si>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</si>
  <si>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</si>
  <si>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</si>
  <si>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</si>
  <si>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</si>
  <si>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</si>
  <si>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</si>
  <si>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</si>
  <si>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</si>
  <si>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</si>
  <si>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</si>
  <si>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</si>
  <si>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</si>
  <si>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</si>
  <si>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</si>
  <si>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</si>
  <si>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</si>
  <si>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</si>
  <si>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</si>
  <si>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</si>
  <si>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</si>
  <si>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</si>
  <si>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</si>
  <si>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</si>
  <si>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</si>
  <si>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</si>
  <si>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</si>
  <si>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</si>
  <si>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</si>
  <si>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</si>
  <si>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</si>
  <si>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</si>
  <si>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</si>
  <si>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</si>
  <si>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</si>
  <si>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</si>
  <si>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</si>
  <si>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</si>
  <si>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</si>
  <si>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</si>
  <si>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</si>
  <si>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</si>
  <si>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</si>
  <si>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</si>
  <si>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</si>
  <si>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</si>
  <si>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</si>
  <si>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</si>
  <si>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</si>
  <si>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</si>
  <si>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</si>
  <si>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</si>
  <si>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</si>
  <si>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</si>
  <si>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</si>
  <si>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</si>
  <si>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</si>
  <si>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</si>
  <si>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</si>
  <si>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</si>
  <si>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</si>
  <si>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</si>
  <si>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</si>
  <si>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</si>
  <si>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</si>
  <si>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</si>
  <si>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</si>
  <si>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</si>
  <si>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</si>
  <si>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</si>
  <si>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</si>
  <si>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</si>
  <si>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</si>
  <si>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</si>
  <si>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</si>
  <si>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</si>
  <si>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</si>
  <si>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</si>
  <si>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</si>
  <si>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</si>
  <si>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</si>
  <si>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</si>
  <si>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</si>
  <si>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</si>
  <si>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</si>
  <si>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</si>
  <si>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</si>
  <si>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</si>
  <si>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</si>
  <si>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</si>
  <si>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</si>
  <si>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</si>
  <si>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</si>
  <si>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</si>
  <si>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</si>
  <si>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</si>
  <si>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</si>
  <si>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</si>
  <si>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</si>
  <si>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</si>
  <si>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</si>
  <si>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</si>
  <si>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</si>
  <si>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</si>
  <si>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</si>
  <si>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</si>
  <si>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</si>
  <si>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</si>
  <si>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</si>
  <si>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</si>
  <si>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</si>
  <si>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</si>
  <si>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</si>
  <si>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</si>
  <si>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</si>
  <si>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</si>
  <si>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</si>
  <si>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</si>
  <si>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</si>
  <si>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</si>
  <si>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</si>
  <si>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</si>
  <si>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</si>
  <si>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</si>
  <si>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</si>
  <si>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</si>
  <si>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</si>
  <si>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</si>
  <si>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</si>
  <si>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</si>
  <si>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</si>
  <si>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</si>
  <si>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</si>
  <si>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</si>
  <si>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</si>
  <si>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</si>
  <si>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</si>
  <si>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</si>
  <si>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</si>
  <si>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</si>
  <si>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</si>
  <si>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</si>
  <si>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</si>
  <si>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</si>
  <si>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</si>
  <si>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</si>
  <si>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</si>
  <si>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</si>
  <si>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</si>
  <si>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</si>
  <si>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</si>
  <si>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</si>
  <si>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</si>
  <si>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</si>
  <si>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</si>
  <si>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</si>
  <si>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</si>
  <si>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</si>
  <si>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</si>
  <si>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</si>
  <si>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</si>
  <si>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</si>
  <si>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</si>
  <si>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</si>
  <si>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</si>
  <si>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</si>
  <si>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</si>
  <si>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</si>
  <si>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</si>
  <si>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</si>
  <si>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</si>
  <si>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</si>
  <si>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</si>
  <si>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</si>
  <si>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</si>
  <si>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</si>
  <si>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</si>
  <si>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</si>
  <si>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</si>
  <si>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</si>
  <si>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</si>
  <si>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</si>
  <si>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</si>
  <si>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</si>
  <si>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</si>
  <si>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</si>
  <si>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</si>
  <si>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</si>
  <si>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</si>
  <si>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</si>
  <si>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</si>
  <si>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</si>
  <si>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</si>
  <si>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</si>
  <si>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</si>
  <si>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</si>
  <si>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</si>
  <si>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</si>
  <si>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</si>
  <si>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</si>
  <si>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</si>
  <si>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</si>
  <si>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</si>
  <si>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</si>
  <si>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</si>
  <si>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</si>
  <si>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</si>
  <si>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</si>
  <si>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</si>
  <si>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</si>
  <si>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</si>
  <si>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</si>
  <si>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</si>
  <si>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</si>
  <si>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</si>
  <si>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</si>
  <si>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</si>
  <si>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</si>
  <si>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</si>
  <si>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</si>
  <si>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</si>
  <si>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</si>
  <si>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</si>
  <si>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</si>
  <si>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</si>
  <si>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</si>
  <si>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</si>
  <si>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</si>
  <si>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</si>
  <si>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</si>
  <si>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</si>
  <si>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</si>
  <si>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</si>
  <si>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</si>
  <si>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</si>
  <si>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</si>
  <si>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</si>
  <si>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</si>
  <si>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</si>
  <si>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</si>
  <si>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</si>
  <si>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</si>
  <si>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</si>
  <si>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</si>
  <si>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</si>
  <si>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</si>
  <si>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</si>
  <si>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</si>
  <si>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</si>
  <si>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</si>
  <si>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</si>
  <si>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</si>
  <si>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</si>
  <si>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</si>
  <si>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</si>
  <si>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</si>
  <si>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</si>
  <si>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</si>
  <si>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</si>
  <si>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</si>
  <si>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</si>
  <si>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</si>
  <si>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</si>
  <si>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</si>
  <si>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</si>
  <si>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</si>
  <si>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</si>
  <si>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</si>
  <si>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</si>
  <si>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</si>
  <si>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</si>
  <si>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</si>
  <si>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</si>
  <si>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</si>
  <si>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</si>
  <si>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</si>
  <si>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</si>
  <si>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</si>
  <si>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</si>
  <si>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</si>
  <si>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</si>
  <si>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</si>
  <si>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</si>
  <si>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</si>
  <si>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</si>
  <si>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</si>
  <si>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</si>
  <si>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</si>
  <si>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</si>
  <si>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</si>
  <si>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</si>
  <si>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</si>
  <si>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</si>
  <si>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</si>
  <si>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</si>
  <si>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</si>
  <si>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</si>
  <si>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</si>
  <si>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</si>
  <si>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</si>
  <si>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</si>
  <si>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</si>
  <si>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</si>
  <si>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</si>
  <si>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</si>
  <si>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</si>
  <si>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</si>
  <si>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</si>
  <si>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</si>
  <si>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</si>
  <si>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</si>
  <si>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</si>
  <si>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</si>
  <si>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</si>
  <si>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</si>
  <si>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</si>
  <si>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</si>
  <si>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</si>
  <si>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</si>
  <si>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</si>
  <si>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</si>
  <si>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</si>
  <si>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</si>
  <si>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</si>
  <si>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</si>
  <si>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</si>
  <si>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</si>
  <si>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</si>
  <si>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</si>
  <si>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</si>
  <si>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</si>
  <si>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</si>
  <si>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</si>
  <si>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</si>
  <si>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</si>
  <si>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</si>
  <si>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</si>
  <si>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</si>
  <si>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</si>
  <si>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</si>
  <si>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</si>
  <si>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</si>
  <si>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</si>
  <si>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</si>
  <si>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</si>
  <si>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</si>
  <si>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</si>
  <si>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37010</t>
  </si>
  <si>
    <t>OOSTROZEBEKE</t>
  </si>
  <si>
    <t>Paarden&amp;pony's 200 - 600 kg</t>
  </si>
  <si>
    <t>Paarden&amp;pony's &lt; 200 kg</t>
  </si>
  <si>
    <t>Fluvius</t>
  </si>
  <si>
    <t>referentietaak LNE (2017); Jaarverslag De Lijn</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</si>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</sst>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37010</v>
      </c>
      <c r="B6" s="386"/>
      <c r="C6" s="387"/>
    </row>
    <row r="7" spans="1:7" s="384" customFormat="1" ht="15.75" customHeight="1">
      <c r="A7" s="388" t="str">
        <f>txtMunicipality</f>
        <v>OOSTROZEBEKE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8712.8071084203439</v>
      </c>
      <c r="D10" s="676">
        <f ca="1">tertiair!C16</f>
        <v>0</v>
      </c>
      <c r="E10" s="676">
        <f ca="1">tertiair!D16</f>
        <v>7594.6443409129924</v>
      </c>
      <c r="F10" s="676">
        <f>tertiair!E16</f>
        <v>64.059824384262697</v>
      </c>
      <c r="G10" s="676">
        <f ca="1">tertiair!F16</f>
        <v>1427.1196343228892</v>
      </c>
      <c r="H10" s="676">
        <f>tertiair!G16</f>
        <v>0</v>
      </c>
      <c r="I10" s="676">
        <f>tertiair!H16</f>
        <v>0</v>
      </c>
      <c r="J10" s="676">
        <f>tertiair!I16</f>
        <v>0</v>
      </c>
      <c r="K10" s="676">
        <f>tertiair!J16</f>
        <v>0</v>
      </c>
      <c r="L10" s="676">
        <f>tertiair!K16</f>
        <v>0</v>
      </c>
      <c r="M10" s="676">
        <f ca="1">tertiair!L16</f>
        <v>0</v>
      </c>
      <c r="N10" s="676">
        <f>tertiair!M16</f>
        <v>0</v>
      </c>
      <c r="O10" s="676">
        <f ca="1">tertiair!N16</f>
        <v>487.30236625123604</v>
      </c>
      <c r="P10" s="676">
        <f>tertiair!O16</f>
        <v>0</v>
      </c>
      <c r="Q10" s="677">
        <f>tertiair!P16</f>
        <v>0</v>
      </c>
      <c r="R10" s="679">
        <f ca="1">SUM(C10:Q10)</f>
        <v>18285.933274291725</v>
      </c>
      <c r="S10" s="68"/>
    </row>
    <row r="11" spans="1:19" s="445" customFormat="1">
      <c r="A11" s="791" t="s">
        <v>220</v>
      </c>
      <c r="B11" s="796"/>
      <c r="C11" s="676">
        <f>huishoudens!B8</f>
        <v>14336.029963618277</v>
      </c>
      <c r="D11" s="676">
        <f>huishoudens!C8</f>
        <v>0</v>
      </c>
      <c r="E11" s="676">
        <f>huishoudens!D8</f>
        <v>22297.752885242251</v>
      </c>
      <c r="F11" s="676">
        <f>huishoudens!E8</f>
        <v>831.23185487559408</v>
      </c>
      <c r="G11" s="676">
        <f>huishoudens!F8</f>
        <v>25341.845943152541</v>
      </c>
      <c r="H11" s="676">
        <f>huishoudens!G8</f>
        <v>0</v>
      </c>
      <c r="I11" s="676">
        <f>huishoudens!H8</f>
        <v>0</v>
      </c>
      <c r="J11" s="676">
        <f>huishoudens!I8</f>
        <v>0</v>
      </c>
      <c r="K11" s="676">
        <f>huishoudens!J8</f>
        <v>459.81896437785917</v>
      </c>
      <c r="L11" s="676">
        <f>huishoudens!K8</f>
        <v>0</v>
      </c>
      <c r="M11" s="676">
        <f>huishoudens!L8</f>
        <v>0</v>
      </c>
      <c r="N11" s="676">
        <f>huishoudens!M8</f>
        <v>0</v>
      </c>
      <c r="O11" s="676">
        <f>huishoudens!N8</f>
        <v>4512.1713043567497</v>
      </c>
      <c r="P11" s="676">
        <f>huishoudens!O8</f>
        <v>51.589999999999996</v>
      </c>
      <c r="Q11" s="677">
        <f>huishoudens!P8</f>
        <v>114.4</v>
      </c>
      <c r="R11" s="679">
        <f>SUM(C11:Q11)</f>
        <v>67944.840915623266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34966.199025053196</v>
      </c>
      <c r="D13" s="676">
        <f>industrie!C18</f>
        <v>0</v>
      </c>
      <c r="E13" s="676">
        <f>industrie!D18</f>
        <v>128267.06919807073</v>
      </c>
      <c r="F13" s="676">
        <f>industrie!E18</f>
        <v>317.71717768316785</v>
      </c>
      <c r="G13" s="676">
        <f>industrie!F18</f>
        <v>6558.5159490772548</v>
      </c>
      <c r="H13" s="676">
        <f>industrie!G18</f>
        <v>0</v>
      </c>
      <c r="I13" s="676">
        <f>industrie!H18</f>
        <v>0</v>
      </c>
      <c r="J13" s="676">
        <f>industrie!I18</f>
        <v>0</v>
      </c>
      <c r="K13" s="676">
        <f>industrie!J18</f>
        <v>135.77381163153689</v>
      </c>
      <c r="L13" s="676">
        <f>industrie!K18</f>
        <v>0</v>
      </c>
      <c r="M13" s="676">
        <f>industrie!L18</f>
        <v>0</v>
      </c>
      <c r="N13" s="676">
        <f>industrie!M18</f>
        <v>0</v>
      </c>
      <c r="O13" s="676">
        <f>industrie!N18</f>
        <v>964.64193966783137</v>
      </c>
      <c r="P13" s="676">
        <f>industrie!O18</f>
        <v>0</v>
      </c>
      <c r="Q13" s="677">
        <f>industrie!P18</f>
        <v>0</v>
      </c>
      <c r="R13" s="679">
        <f>SUM(C13:Q13)</f>
        <v>171209.91710118373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58015.036097091819</v>
      </c>
      <c r="D16" s="709">
        <f t="shared" ref="D16:R16" ca="1" si="0">SUM(D9:D15)</f>
        <v>0</v>
      </c>
      <c r="E16" s="709">
        <f t="shared" ca="1" si="0"/>
        <v>158159.46642422598</v>
      </c>
      <c r="F16" s="709">
        <f t="shared" si="0"/>
        <v>1213.0088569430245</v>
      </c>
      <c r="G16" s="709">
        <f t="shared" ca="1" si="0"/>
        <v>33327.481526552685</v>
      </c>
      <c r="H16" s="709">
        <f t="shared" si="0"/>
        <v>0</v>
      </c>
      <c r="I16" s="709">
        <f t="shared" si="0"/>
        <v>0</v>
      </c>
      <c r="J16" s="709">
        <f t="shared" si="0"/>
        <v>0</v>
      </c>
      <c r="K16" s="709">
        <f t="shared" si="0"/>
        <v>595.59277600939606</v>
      </c>
      <c r="L16" s="709">
        <f t="shared" si="0"/>
        <v>0</v>
      </c>
      <c r="M16" s="709">
        <f t="shared" ca="1" si="0"/>
        <v>0</v>
      </c>
      <c r="N16" s="709">
        <f t="shared" si="0"/>
        <v>0</v>
      </c>
      <c r="O16" s="709">
        <f t="shared" ca="1" si="0"/>
        <v>5964.1156102758168</v>
      </c>
      <c r="P16" s="709">
        <f t="shared" si="0"/>
        <v>51.589999999999996</v>
      </c>
      <c r="Q16" s="709">
        <f t="shared" si="0"/>
        <v>114.4</v>
      </c>
      <c r="R16" s="709">
        <f t="shared" ca="1" si="0"/>
        <v>257440.69129109872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0.87719901535290346</v>
      </c>
      <c r="D19" s="676">
        <f>transport!C54</f>
        <v>0</v>
      </c>
      <c r="E19" s="676">
        <f>transport!D54</f>
        <v>0</v>
      </c>
      <c r="F19" s="676">
        <f>transport!E54</f>
        <v>0</v>
      </c>
      <c r="G19" s="676">
        <f>transport!F54</f>
        <v>0</v>
      </c>
      <c r="H19" s="676">
        <f>transport!G54</f>
        <v>174.95907306731851</v>
      </c>
      <c r="I19" s="676">
        <f>transport!H54</f>
        <v>0</v>
      </c>
      <c r="J19" s="676">
        <f>transport!I54</f>
        <v>0</v>
      </c>
      <c r="K19" s="676">
        <f>transport!J54</f>
        <v>0</v>
      </c>
      <c r="L19" s="676">
        <f>transport!K54</f>
        <v>0</v>
      </c>
      <c r="M19" s="676">
        <f>transport!L54</f>
        <v>0</v>
      </c>
      <c r="N19" s="676">
        <f>transport!M54</f>
        <v>7.7330046877026222</v>
      </c>
      <c r="O19" s="676">
        <f>transport!N54</f>
        <v>0</v>
      </c>
      <c r="P19" s="676">
        <f>transport!O54</f>
        <v>0</v>
      </c>
      <c r="Q19" s="677">
        <f>transport!P54</f>
        <v>0</v>
      </c>
      <c r="R19" s="679">
        <f>SUM(C19:Q19)</f>
        <v>183.56927677037405</v>
      </c>
      <c r="S19" s="68"/>
    </row>
    <row r="20" spans="1:19" s="445" customFormat="1">
      <c r="A20" s="791" t="s">
        <v>302</v>
      </c>
      <c r="B20" s="796"/>
      <c r="C20" s="676">
        <f>transport!B14</f>
        <v>1.068215550894362</v>
      </c>
      <c r="D20" s="676">
        <f>transport!C14</f>
        <v>0</v>
      </c>
      <c r="E20" s="676">
        <f>transport!D14</f>
        <v>1.3432766322230147</v>
      </c>
      <c r="F20" s="676">
        <f>transport!E14</f>
        <v>85.35475138419271</v>
      </c>
      <c r="G20" s="676">
        <f>transport!F14</f>
        <v>0</v>
      </c>
      <c r="H20" s="676">
        <f>transport!G14</f>
        <v>28997.006133945099</v>
      </c>
      <c r="I20" s="676">
        <f>transport!H14</f>
        <v>3217.2193636846696</v>
      </c>
      <c r="J20" s="676">
        <f>transport!I14</f>
        <v>0</v>
      </c>
      <c r="K20" s="676">
        <f>transport!J14</f>
        <v>0</v>
      </c>
      <c r="L20" s="676">
        <f>transport!K14</f>
        <v>0</v>
      </c>
      <c r="M20" s="676">
        <f>transport!L14</f>
        <v>0</v>
      </c>
      <c r="N20" s="676">
        <f>transport!M14</f>
        <v>1437.6055067873556</v>
      </c>
      <c r="O20" s="676">
        <f>transport!N14</f>
        <v>0</v>
      </c>
      <c r="P20" s="676">
        <f>transport!O14</f>
        <v>0</v>
      </c>
      <c r="Q20" s="677">
        <f>transport!P14</f>
        <v>0</v>
      </c>
      <c r="R20" s="679">
        <f>SUM(C20:Q20)</f>
        <v>33739.597247984435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1.9454145662472655</v>
      </c>
      <c r="D22" s="794">
        <f t="shared" ref="D22:R22" si="1">SUM(D18:D21)</f>
        <v>0</v>
      </c>
      <c r="E22" s="794">
        <f t="shared" si="1"/>
        <v>1.3432766322230147</v>
      </c>
      <c r="F22" s="794">
        <f t="shared" si="1"/>
        <v>85.35475138419271</v>
      </c>
      <c r="G22" s="794">
        <f t="shared" si="1"/>
        <v>0</v>
      </c>
      <c r="H22" s="794">
        <f t="shared" si="1"/>
        <v>29171.965207012418</v>
      </c>
      <c r="I22" s="794">
        <f t="shared" si="1"/>
        <v>3217.2193636846696</v>
      </c>
      <c r="J22" s="794">
        <f t="shared" si="1"/>
        <v>0</v>
      </c>
      <c r="K22" s="794">
        <f t="shared" si="1"/>
        <v>0</v>
      </c>
      <c r="L22" s="794">
        <f t="shared" si="1"/>
        <v>0</v>
      </c>
      <c r="M22" s="794">
        <f t="shared" si="1"/>
        <v>0</v>
      </c>
      <c r="N22" s="794">
        <f t="shared" si="1"/>
        <v>1445.3385114750581</v>
      </c>
      <c r="O22" s="794">
        <f t="shared" si="1"/>
        <v>0</v>
      </c>
      <c r="P22" s="794">
        <f t="shared" si="1"/>
        <v>0</v>
      </c>
      <c r="Q22" s="794">
        <f t="shared" si="1"/>
        <v>0</v>
      </c>
      <c r="R22" s="794">
        <f t="shared" si="1"/>
        <v>33923.166524754808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1280.0342451038871</v>
      </c>
      <c r="D24" s="676">
        <f>+landbouw!C8</f>
        <v>12857.142857142857</v>
      </c>
      <c r="E24" s="676">
        <f>+landbouw!D8</f>
        <v>9.7741170383051212</v>
      </c>
      <c r="F24" s="676">
        <f>+landbouw!E8</f>
        <v>12.058780239956445</v>
      </c>
      <c r="G24" s="676">
        <f>+landbouw!F8</f>
        <v>4177.1765478320795</v>
      </c>
      <c r="H24" s="676">
        <f>+landbouw!G8</f>
        <v>0</v>
      </c>
      <c r="I24" s="676">
        <f>+landbouw!H8</f>
        <v>0</v>
      </c>
      <c r="J24" s="676">
        <f>+landbouw!I8</f>
        <v>0</v>
      </c>
      <c r="K24" s="676">
        <f>+landbouw!J8</f>
        <v>158.34646220472303</v>
      </c>
      <c r="L24" s="676">
        <f>+landbouw!K8</f>
        <v>0</v>
      </c>
      <c r="M24" s="676">
        <f>+landbouw!L8</f>
        <v>0</v>
      </c>
      <c r="N24" s="676">
        <f>+landbouw!M8</f>
        <v>0</v>
      </c>
      <c r="O24" s="676">
        <f>+landbouw!N8</f>
        <v>0</v>
      </c>
      <c r="P24" s="676">
        <f>+landbouw!O8</f>
        <v>0</v>
      </c>
      <c r="Q24" s="677">
        <f>+landbouw!P8</f>
        <v>0</v>
      </c>
      <c r="R24" s="679">
        <f>SUM(C24:Q24)</f>
        <v>18494.533009561808</v>
      </c>
      <c r="S24" s="68"/>
    </row>
    <row r="25" spans="1:19" s="445" customFormat="1" ht="15" thickBot="1">
      <c r="A25" s="813" t="s">
        <v>879</v>
      </c>
      <c r="B25" s="979"/>
      <c r="C25" s="980">
        <f>IF(Onbekend_ele_kWh="---",0,Onbekend_ele_kWh)/1000+IF(REST_rest_ele_kWh="---",0,REST_rest_ele_kWh)/1000</f>
        <v>498.83759704625101</v>
      </c>
      <c r="D25" s="980"/>
      <c r="E25" s="980">
        <f>IF(onbekend_gas_kWh="---",0,onbekend_gas_kWh)/1000+IF(REST_rest_gas_kWh="---",0,REST_rest_gas_kWh)/1000</f>
        <v>758.08542787626197</v>
      </c>
      <c r="F25" s="980"/>
      <c r="G25" s="980"/>
      <c r="H25" s="980"/>
      <c r="I25" s="980"/>
      <c r="J25" s="980"/>
      <c r="K25" s="980"/>
      <c r="L25" s="980"/>
      <c r="M25" s="980"/>
      <c r="N25" s="980"/>
      <c r="O25" s="980"/>
      <c r="P25" s="980"/>
      <c r="Q25" s="981"/>
      <c r="R25" s="679">
        <f>SUM(C25:Q25)</f>
        <v>1256.9230249225129</v>
      </c>
      <c r="S25" s="68"/>
    </row>
    <row r="26" spans="1:19" s="445" customFormat="1" ht="15.75" thickBot="1">
      <c r="A26" s="682" t="s">
        <v>880</v>
      </c>
      <c r="B26" s="799"/>
      <c r="C26" s="794">
        <f>SUM(C24:C25)</f>
        <v>1778.871842150138</v>
      </c>
      <c r="D26" s="794">
        <f t="shared" ref="D26:R26" si="2">SUM(D24:D25)</f>
        <v>12857.142857142857</v>
      </c>
      <c r="E26" s="794">
        <f t="shared" si="2"/>
        <v>767.8595449145671</v>
      </c>
      <c r="F26" s="794">
        <f t="shared" si="2"/>
        <v>12.058780239956445</v>
      </c>
      <c r="G26" s="794">
        <f t="shared" si="2"/>
        <v>4177.1765478320795</v>
      </c>
      <c r="H26" s="794">
        <f t="shared" si="2"/>
        <v>0</v>
      </c>
      <c r="I26" s="794">
        <f t="shared" si="2"/>
        <v>0</v>
      </c>
      <c r="J26" s="794">
        <f t="shared" si="2"/>
        <v>0</v>
      </c>
      <c r="K26" s="794">
        <f t="shared" si="2"/>
        <v>158.34646220472303</v>
      </c>
      <c r="L26" s="794">
        <f t="shared" si="2"/>
        <v>0</v>
      </c>
      <c r="M26" s="794">
        <f t="shared" si="2"/>
        <v>0</v>
      </c>
      <c r="N26" s="794">
        <f t="shared" si="2"/>
        <v>0</v>
      </c>
      <c r="O26" s="794">
        <f t="shared" si="2"/>
        <v>0</v>
      </c>
      <c r="P26" s="794">
        <f t="shared" si="2"/>
        <v>0</v>
      </c>
      <c r="Q26" s="794">
        <f t="shared" si="2"/>
        <v>0</v>
      </c>
      <c r="R26" s="794">
        <f t="shared" si="2"/>
        <v>19751.456034484319</v>
      </c>
      <c r="S26" s="68"/>
    </row>
    <row r="27" spans="1:19" s="445" customFormat="1" ht="17.25" thickTop="1" thickBot="1">
      <c r="A27" s="683" t="s">
        <v>115</v>
      </c>
      <c r="B27" s="786"/>
      <c r="C27" s="684">
        <f ca="1">C22+C16+C26</f>
        <v>59795.853353808205</v>
      </c>
      <c r="D27" s="684">
        <f t="shared" ref="D27:R27" ca="1" si="3">D22+D16+D26</f>
        <v>12857.142857142857</v>
      </c>
      <c r="E27" s="684">
        <f t="shared" ca="1" si="3"/>
        <v>158928.66924577276</v>
      </c>
      <c r="F27" s="684">
        <f t="shared" si="3"/>
        <v>1310.4223885671736</v>
      </c>
      <c r="G27" s="684">
        <f t="shared" ca="1" si="3"/>
        <v>37504.658074384766</v>
      </c>
      <c r="H27" s="684">
        <f t="shared" si="3"/>
        <v>29171.965207012418</v>
      </c>
      <c r="I27" s="684">
        <f t="shared" si="3"/>
        <v>3217.2193636846696</v>
      </c>
      <c r="J27" s="684">
        <f t="shared" si="3"/>
        <v>0</v>
      </c>
      <c r="K27" s="684">
        <f t="shared" si="3"/>
        <v>753.93923821411909</v>
      </c>
      <c r="L27" s="684">
        <f t="shared" si="3"/>
        <v>0</v>
      </c>
      <c r="M27" s="684">
        <f t="shared" ca="1" si="3"/>
        <v>0</v>
      </c>
      <c r="N27" s="684">
        <f t="shared" si="3"/>
        <v>1445.3385114750581</v>
      </c>
      <c r="O27" s="684">
        <f t="shared" ca="1" si="3"/>
        <v>5964.1156102758168</v>
      </c>
      <c r="P27" s="684">
        <f t="shared" si="3"/>
        <v>51.589999999999996</v>
      </c>
      <c r="Q27" s="684">
        <f t="shared" si="3"/>
        <v>114.4</v>
      </c>
      <c r="R27" s="684">
        <f t="shared" ca="1" si="3"/>
        <v>311115.31385033787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1865.4550448778991</v>
      </c>
      <c r="D40" s="676">
        <f ca="1">tertiair!C20</f>
        <v>0</v>
      </c>
      <c r="E40" s="676">
        <f ca="1">tertiair!D20</f>
        <v>1534.1181568644245</v>
      </c>
      <c r="F40" s="676">
        <f>tertiair!E20</f>
        <v>14.541580135227633</v>
      </c>
      <c r="G40" s="676">
        <f ca="1">tertiair!F20</f>
        <v>381.04094236421145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3795.1557242417625</v>
      </c>
    </row>
    <row r="41" spans="1:18">
      <c r="A41" s="804" t="s">
        <v>220</v>
      </c>
      <c r="B41" s="811"/>
      <c r="C41" s="676">
        <f ca="1">huishoudens!B12</f>
        <v>3069.4148379925582</v>
      </c>
      <c r="D41" s="676">
        <f ca="1">huishoudens!C12</f>
        <v>0</v>
      </c>
      <c r="E41" s="676">
        <f>huishoudens!D12</f>
        <v>4504.1460828189347</v>
      </c>
      <c r="F41" s="676">
        <f>huishoudens!E12</f>
        <v>188.68963105675985</v>
      </c>
      <c r="G41" s="676">
        <f>huishoudens!F12</f>
        <v>6766.2728668217287</v>
      </c>
      <c r="H41" s="676">
        <f>huishoudens!G12</f>
        <v>0</v>
      </c>
      <c r="I41" s="676">
        <f>huishoudens!H12</f>
        <v>0</v>
      </c>
      <c r="J41" s="676">
        <f>huishoudens!I12</f>
        <v>0</v>
      </c>
      <c r="K41" s="676">
        <f>huishoudens!J12</f>
        <v>162.77591338976214</v>
      </c>
      <c r="L41" s="676">
        <f>huishoudens!K12</f>
        <v>0</v>
      </c>
      <c r="M41" s="676">
        <f>huishoudens!L12</f>
        <v>0</v>
      </c>
      <c r="N41" s="676">
        <f>huishoudens!M12</f>
        <v>0</v>
      </c>
      <c r="O41" s="676">
        <f>huishoudens!N12</f>
        <v>0</v>
      </c>
      <c r="P41" s="676">
        <f>huishoudens!O12</f>
        <v>0</v>
      </c>
      <c r="Q41" s="751">
        <f>huishoudens!P12</f>
        <v>0</v>
      </c>
      <c r="R41" s="832">
        <f t="shared" ca="1" si="4"/>
        <v>14691.299332079743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7486.43595110143</v>
      </c>
      <c r="D43" s="676">
        <f ca="1">industrie!C22</f>
        <v>0</v>
      </c>
      <c r="E43" s="676">
        <f>industrie!D22</f>
        <v>25909.947978010288</v>
      </c>
      <c r="F43" s="676">
        <f>industrie!E22</f>
        <v>72.1217993340791</v>
      </c>
      <c r="G43" s="676">
        <f>industrie!F22</f>
        <v>1751.1237584036271</v>
      </c>
      <c r="H43" s="676">
        <f>industrie!G22</f>
        <v>0</v>
      </c>
      <c r="I43" s="676">
        <f>industrie!H22</f>
        <v>0</v>
      </c>
      <c r="J43" s="676">
        <f>industrie!I22</f>
        <v>0</v>
      </c>
      <c r="K43" s="676">
        <f>industrie!J22</f>
        <v>48.063929317564053</v>
      </c>
      <c r="L43" s="676">
        <f>industrie!K22</f>
        <v>0</v>
      </c>
      <c r="M43" s="676">
        <f>industrie!L22</f>
        <v>0</v>
      </c>
      <c r="N43" s="676">
        <f>industrie!M22</f>
        <v>0</v>
      </c>
      <c r="O43" s="676">
        <f>industrie!N22</f>
        <v>0</v>
      </c>
      <c r="P43" s="676">
        <f>industrie!O22</f>
        <v>0</v>
      </c>
      <c r="Q43" s="751">
        <f>industrie!P22</f>
        <v>0</v>
      </c>
      <c r="R43" s="831">
        <f t="shared" ca="1" si="4"/>
        <v>35267.693416166985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12421.305833971888</v>
      </c>
      <c r="D46" s="709">
        <f t="shared" ref="D46:Q46" ca="1" si="5">SUM(D39:D45)</f>
        <v>0</v>
      </c>
      <c r="E46" s="709">
        <f t="shared" ca="1" si="5"/>
        <v>31948.212217693646</v>
      </c>
      <c r="F46" s="709">
        <f t="shared" si="5"/>
        <v>275.35301052606656</v>
      </c>
      <c r="G46" s="709">
        <f t="shared" ca="1" si="5"/>
        <v>8898.4375675895681</v>
      </c>
      <c r="H46" s="709">
        <f t="shared" si="5"/>
        <v>0</v>
      </c>
      <c r="I46" s="709">
        <f t="shared" si="5"/>
        <v>0</v>
      </c>
      <c r="J46" s="709">
        <f t="shared" si="5"/>
        <v>0</v>
      </c>
      <c r="K46" s="709">
        <f t="shared" si="5"/>
        <v>210.8398427073262</v>
      </c>
      <c r="L46" s="709">
        <f t="shared" si="5"/>
        <v>0</v>
      </c>
      <c r="M46" s="709">
        <f t="shared" ca="1" si="5"/>
        <v>0</v>
      </c>
      <c r="N46" s="709">
        <f t="shared" si="5"/>
        <v>0</v>
      </c>
      <c r="O46" s="709">
        <f t="shared" ca="1" si="5"/>
        <v>0</v>
      </c>
      <c r="P46" s="709">
        <f t="shared" si="5"/>
        <v>0</v>
      </c>
      <c r="Q46" s="709">
        <f t="shared" si="5"/>
        <v>0</v>
      </c>
      <c r="R46" s="709">
        <f ca="1">SUM(R39:R45)</f>
        <v>53754.148472488494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0.18781264272114465</v>
      </c>
      <c r="D49" s="676">
        <f ca="1">transport!C58</f>
        <v>0</v>
      </c>
      <c r="E49" s="676">
        <f>transport!D58</f>
        <v>0</v>
      </c>
      <c r="F49" s="676">
        <f>transport!E58</f>
        <v>0</v>
      </c>
      <c r="G49" s="676">
        <f>transport!F58</f>
        <v>0</v>
      </c>
      <c r="H49" s="676">
        <f>transport!G58</f>
        <v>46.714072508974049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46.90188515169519</v>
      </c>
    </row>
    <row r="50" spans="1:18">
      <c r="A50" s="807" t="s">
        <v>302</v>
      </c>
      <c r="B50" s="817"/>
      <c r="C50" s="986">
        <f ca="1">transport!B18</f>
        <v>0.22871022663948259</v>
      </c>
      <c r="D50" s="986">
        <f>transport!C18</f>
        <v>0</v>
      </c>
      <c r="E50" s="986">
        <f>transport!D18</f>
        <v>0.27134187970904899</v>
      </c>
      <c r="F50" s="986">
        <f>transport!E18</f>
        <v>19.375528564211745</v>
      </c>
      <c r="G50" s="986">
        <f>transport!F18</f>
        <v>0</v>
      </c>
      <c r="H50" s="986">
        <f>transport!G18</f>
        <v>7742.2006377633415</v>
      </c>
      <c r="I50" s="986">
        <f>transport!H18</f>
        <v>801.08762155748275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8563.1638399913845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0.41652286936062721</v>
      </c>
      <c r="D52" s="709">
        <f t="shared" ref="D52:Q52" ca="1" si="6">SUM(D48:D51)</f>
        <v>0</v>
      </c>
      <c r="E52" s="709">
        <f t="shared" si="6"/>
        <v>0.27134187970904899</v>
      </c>
      <c r="F52" s="709">
        <f t="shared" si="6"/>
        <v>19.375528564211745</v>
      </c>
      <c r="G52" s="709">
        <f t="shared" si="6"/>
        <v>0</v>
      </c>
      <c r="H52" s="709">
        <f t="shared" si="6"/>
        <v>7788.9147102723155</v>
      </c>
      <c r="I52" s="709">
        <f t="shared" si="6"/>
        <v>801.08762155748275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8610.0657251430803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274.06165549537138</v>
      </c>
      <c r="D54" s="986">
        <f ca="1">+landbouw!C12</f>
        <v>3055.4621848739503</v>
      </c>
      <c r="E54" s="986">
        <f>+landbouw!D12</f>
        <v>1.9743716417376347</v>
      </c>
      <c r="F54" s="986">
        <f>+landbouw!E12</f>
        <v>2.737343114470113</v>
      </c>
      <c r="G54" s="986">
        <f>+landbouw!F12</f>
        <v>1115.3061382711653</v>
      </c>
      <c r="H54" s="986">
        <f>+landbouw!G12</f>
        <v>0</v>
      </c>
      <c r="I54" s="986">
        <f>+landbouw!H12</f>
        <v>0</v>
      </c>
      <c r="J54" s="986">
        <f>+landbouw!I12</f>
        <v>0</v>
      </c>
      <c r="K54" s="986">
        <f>+landbouw!J12</f>
        <v>56.054647620471947</v>
      </c>
      <c r="L54" s="986">
        <f>+landbouw!K12</f>
        <v>0</v>
      </c>
      <c r="M54" s="986">
        <f>+landbouw!L12</f>
        <v>0</v>
      </c>
      <c r="N54" s="986">
        <f>+landbouw!M12</f>
        <v>0</v>
      </c>
      <c r="O54" s="986">
        <f>+landbouw!N12</f>
        <v>0</v>
      </c>
      <c r="P54" s="986">
        <f>+landbouw!O12</f>
        <v>0</v>
      </c>
      <c r="Q54" s="987">
        <f>+landbouw!P12</f>
        <v>0</v>
      </c>
      <c r="R54" s="708">
        <f ca="1">SUM(C54:Q54)</f>
        <v>4505.5963410171662</v>
      </c>
    </row>
    <row r="55" spans="1:18" ht="15" thickBot="1">
      <c r="A55" s="807" t="s">
        <v>879</v>
      </c>
      <c r="B55" s="817"/>
      <c r="C55" s="986">
        <f ca="1">C25*'EF ele_warmte'!B12</f>
        <v>106.80359388254728</v>
      </c>
      <c r="D55" s="986"/>
      <c r="E55" s="986">
        <f>E25*EF_CO2_aardgas</f>
        <v>153.13325643100492</v>
      </c>
      <c r="F55" s="986"/>
      <c r="G55" s="986"/>
      <c r="H55" s="986"/>
      <c r="I55" s="986"/>
      <c r="J55" s="986"/>
      <c r="K55" s="986"/>
      <c r="L55" s="986"/>
      <c r="M55" s="986"/>
      <c r="N55" s="986"/>
      <c r="O55" s="986"/>
      <c r="P55" s="986"/>
      <c r="Q55" s="987"/>
      <c r="R55" s="708">
        <f ca="1">SUM(C55:Q55)</f>
        <v>259.93685031355221</v>
      </c>
    </row>
    <row r="56" spans="1:18" ht="15.75" thickBot="1">
      <c r="A56" s="805" t="s">
        <v>880</v>
      </c>
      <c r="B56" s="818"/>
      <c r="C56" s="709">
        <f ca="1">SUM(C54:C55)</f>
        <v>380.86524937791864</v>
      </c>
      <c r="D56" s="709">
        <f t="shared" ref="D56:Q56" ca="1" si="7">SUM(D54:D55)</f>
        <v>3055.4621848739503</v>
      </c>
      <c r="E56" s="709">
        <f t="shared" si="7"/>
        <v>155.10762807274256</v>
      </c>
      <c r="F56" s="709">
        <f t="shared" si="7"/>
        <v>2.737343114470113</v>
      </c>
      <c r="G56" s="709">
        <f t="shared" si="7"/>
        <v>1115.3061382711653</v>
      </c>
      <c r="H56" s="709">
        <f t="shared" si="7"/>
        <v>0</v>
      </c>
      <c r="I56" s="709">
        <f t="shared" si="7"/>
        <v>0</v>
      </c>
      <c r="J56" s="709">
        <f t="shared" si="7"/>
        <v>0</v>
      </c>
      <c r="K56" s="709">
        <f t="shared" si="7"/>
        <v>56.054647620471947</v>
      </c>
      <c r="L56" s="709">
        <f t="shared" si="7"/>
        <v>0</v>
      </c>
      <c r="M56" s="709">
        <f t="shared" si="7"/>
        <v>0</v>
      </c>
      <c r="N56" s="709">
        <f t="shared" si="7"/>
        <v>0</v>
      </c>
      <c r="O56" s="709">
        <f t="shared" si="7"/>
        <v>0</v>
      </c>
      <c r="P56" s="709">
        <f t="shared" si="7"/>
        <v>0</v>
      </c>
      <c r="Q56" s="710">
        <f t="shared" si="7"/>
        <v>0</v>
      </c>
      <c r="R56" s="711">
        <f ca="1">SUM(R54:R55)</f>
        <v>4765.5331913307182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12802.587606219167</v>
      </c>
      <c r="D61" s="717">
        <f t="shared" ref="D61:Q61" ca="1" si="8">D46+D52+D56</f>
        <v>3055.4621848739503</v>
      </c>
      <c r="E61" s="717">
        <f t="shared" ca="1" si="8"/>
        <v>32103.5911876461</v>
      </c>
      <c r="F61" s="717">
        <f t="shared" si="8"/>
        <v>297.46588220474837</v>
      </c>
      <c r="G61" s="717">
        <f t="shared" ca="1" si="8"/>
        <v>10013.743705860734</v>
      </c>
      <c r="H61" s="717">
        <f t="shared" si="8"/>
        <v>7788.9147102723155</v>
      </c>
      <c r="I61" s="717">
        <f t="shared" si="8"/>
        <v>801.08762155748275</v>
      </c>
      <c r="J61" s="717">
        <f t="shared" si="8"/>
        <v>0</v>
      </c>
      <c r="K61" s="717">
        <f t="shared" si="8"/>
        <v>266.89449032779817</v>
      </c>
      <c r="L61" s="717">
        <f t="shared" si="8"/>
        <v>0</v>
      </c>
      <c r="M61" s="717">
        <f t="shared" ca="1" si="8"/>
        <v>0</v>
      </c>
      <c r="N61" s="717">
        <f t="shared" si="8"/>
        <v>0</v>
      </c>
      <c r="O61" s="717">
        <f t="shared" ca="1" si="8"/>
        <v>0</v>
      </c>
      <c r="P61" s="717">
        <f t="shared" si="8"/>
        <v>0</v>
      </c>
      <c r="Q61" s="717">
        <f t="shared" si="8"/>
        <v>0</v>
      </c>
      <c r="R61" s="717">
        <f ca="1">R46+R52+R56</f>
        <v>67129.747388962292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0.21410494019488413</v>
      </c>
      <c r="D63" s="761">
        <f t="shared" ca="1" si="9"/>
        <v>0.23764705882352946</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2543.5272144081991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9000</v>
      </c>
      <c r="D76" s="998">
        <f>'lokale energieproductie'!C8</f>
        <v>10588.235294117649</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2138.8235294117653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2543.5272144081991</v>
      </c>
      <c r="C78" s="732">
        <f>SUM(C72:C77)</f>
        <v>9000</v>
      </c>
      <c r="D78" s="733">
        <f t="shared" ref="D78:H78" si="10">SUM(D76:D77)</f>
        <v>10588.235294117649</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2138.8235294117653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12857.142857142857</v>
      </c>
      <c r="D87" s="754">
        <f>'lokale energieproductie'!C17</f>
        <v>15126.050420168069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3055.4621848739503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12857.142857142857</v>
      </c>
      <c r="D90" s="732">
        <f t="shared" ref="D90:H90" si="12">SUM(D87:D89)</f>
        <v>15126.050420168069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3055.4621848739503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14336.029963618277</v>
      </c>
      <c r="C4" s="449">
        <f>huishoudens!C8</f>
        <v>0</v>
      </c>
      <c r="D4" s="449">
        <f>huishoudens!D8</f>
        <v>22297.752885242251</v>
      </c>
      <c r="E4" s="449">
        <f>huishoudens!E8</f>
        <v>831.23185487559408</v>
      </c>
      <c r="F4" s="449">
        <f>huishoudens!F8</f>
        <v>25341.845943152541</v>
      </c>
      <c r="G4" s="449">
        <f>huishoudens!G8</f>
        <v>0</v>
      </c>
      <c r="H4" s="449">
        <f>huishoudens!H8</f>
        <v>0</v>
      </c>
      <c r="I4" s="449">
        <f>huishoudens!I8</f>
        <v>0</v>
      </c>
      <c r="J4" s="449">
        <f>huishoudens!J8</f>
        <v>459.81896437785917</v>
      </c>
      <c r="K4" s="449">
        <f>huishoudens!K8</f>
        <v>0</v>
      </c>
      <c r="L4" s="449">
        <f>huishoudens!L8</f>
        <v>0</v>
      </c>
      <c r="M4" s="449">
        <f>huishoudens!M8</f>
        <v>0</v>
      </c>
      <c r="N4" s="449">
        <f>huishoudens!N8</f>
        <v>4512.1713043567497</v>
      </c>
      <c r="O4" s="449">
        <f>huishoudens!O8</f>
        <v>51.589999999999996</v>
      </c>
      <c r="P4" s="450">
        <f>huishoudens!P8</f>
        <v>114.4</v>
      </c>
      <c r="Q4" s="451">
        <f>SUM(B4:P4)</f>
        <v>67944.840915623266</v>
      </c>
    </row>
    <row r="5" spans="1:17">
      <c r="A5" s="448" t="s">
        <v>155</v>
      </c>
      <c r="B5" s="449">
        <f ca="1">tertiair!B16</f>
        <v>7968.4981084203446</v>
      </c>
      <c r="C5" s="449">
        <f ca="1">tertiair!C16</f>
        <v>0</v>
      </c>
      <c r="D5" s="449">
        <f ca="1">tertiair!D16</f>
        <v>7594.6443409129924</v>
      </c>
      <c r="E5" s="449">
        <f>tertiair!E16</f>
        <v>64.059824384262697</v>
      </c>
      <c r="F5" s="449">
        <f ca="1">tertiair!F16</f>
        <v>1427.1196343228892</v>
      </c>
      <c r="G5" s="449">
        <f>tertiair!G16</f>
        <v>0</v>
      </c>
      <c r="H5" s="449">
        <f>tertiair!H16</f>
        <v>0</v>
      </c>
      <c r="I5" s="449">
        <f>tertiair!I16</f>
        <v>0</v>
      </c>
      <c r="J5" s="449">
        <f>tertiair!J16</f>
        <v>0</v>
      </c>
      <c r="K5" s="449">
        <f>tertiair!K16</f>
        <v>0</v>
      </c>
      <c r="L5" s="449">
        <f ca="1">tertiair!L16</f>
        <v>0</v>
      </c>
      <c r="M5" s="449">
        <f>tertiair!M16</f>
        <v>0</v>
      </c>
      <c r="N5" s="449">
        <f ca="1">tertiair!N16</f>
        <v>487.30236625123604</v>
      </c>
      <c r="O5" s="449">
        <f>tertiair!O16</f>
        <v>0</v>
      </c>
      <c r="P5" s="450">
        <f>tertiair!P16</f>
        <v>0</v>
      </c>
      <c r="Q5" s="448">
        <f t="shared" ref="Q5:Q14" ca="1" si="0">SUM(B5:P5)</f>
        <v>17541.624274291724</v>
      </c>
    </row>
    <row r="6" spans="1:17">
      <c r="A6" s="448" t="s">
        <v>193</v>
      </c>
      <c r="B6" s="449">
        <f>'openbare verlichting'!B8</f>
        <v>744.30899999999997</v>
      </c>
      <c r="C6" s="449"/>
      <c r="D6" s="449"/>
      <c r="E6" s="449"/>
      <c r="F6" s="449"/>
      <c r="G6" s="449"/>
      <c r="H6" s="449"/>
      <c r="I6" s="449"/>
      <c r="J6" s="449"/>
      <c r="K6" s="449"/>
      <c r="L6" s="449"/>
      <c r="M6" s="449"/>
      <c r="N6" s="449"/>
      <c r="O6" s="449"/>
      <c r="P6" s="450"/>
      <c r="Q6" s="448">
        <f t="shared" si="0"/>
        <v>744.30899999999997</v>
      </c>
    </row>
    <row r="7" spans="1:17">
      <c r="A7" s="448" t="s">
        <v>111</v>
      </c>
      <c r="B7" s="449">
        <f>landbouw!B8</f>
        <v>1280.0342451038871</v>
      </c>
      <c r="C7" s="449">
        <f>landbouw!C8</f>
        <v>12857.142857142857</v>
      </c>
      <c r="D7" s="449">
        <f>landbouw!D8</f>
        <v>9.7741170383051212</v>
      </c>
      <c r="E7" s="449">
        <f>landbouw!E8</f>
        <v>12.058780239956445</v>
      </c>
      <c r="F7" s="449">
        <f>landbouw!F8</f>
        <v>4177.1765478320795</v>
      </c>
      <c r="G7" s="449">
        <f>landbouw!G8</f>
        <v>0</v>
      </c>
      <c r="H7" s="449">
        <f>landbouw!H8</f>
        <v>0</v>
      </c>
      <c r="I7" s="449">
        <f>landbouw!I8</f>
        <v>0</v>
      </c>
      <c r="J7" s="449">
        <f>landbouw!J8</f>
        <v>158.34646220472303</v>
      </c>
      <c r="K7" s="449">
        <f>landbouw!K8</f>
        <v>0</v>
      </c>
      <c r="L7" s="449">
        <f>landbouw!L8</f>
        <v>0</v>
      </c>
      <c r="M7" s="449">
        <f>landbouw!M8</f>
        <v>0</v>
      </c>
      <c r="N7" s="449">
        <f>landbouw!N8</f>
        <v>0</v>
      </c>
      <c r="O7" s="449">
        <f>landbouw!O8</f>
        <v>0</v>
      </c>
      <c r="P7" s="450">
        <f>landbouw!P8</f>
        <v>0</v>
      </c>
      <c r="Q7" s="448">
        <f t="shared" si="0"/>
        <v>18494.533009561808</v>
      </c>
    </row>
    <row r="8" spans="1:17">
      <c r="A8" s="448" t="s">
        <v>671</v>
      </c>
      <c r="B8" s="449">
        <f>industrie!B18</f>
        <v>34966.199025053196</v>
      </c>
      <c r="C8" s="449">
        <f>industrie!C18</f>
        <v>0</v>
      </c>
      <c r="D8" s="449">
        <f>industrie!D18</f>
        <v>128267.06919807073</v>
      </c>
      <c r="E8" s="449">
        <f>industrie!E18</f>
        <v>317.71717768316785</v>
      </c>
      <c r="F8" s="449">
        <f>industrie!F18</f>
        <v>6558.5159490772548</v>
      </c>
      <c r="G8" s="449">
        <f>industrie!G18</f>
        <v>0</v>
      </c>
      <c r="H8" s="449">
        <f>industrie!H18</f>
        <v>0</v>
      </c>
      <c r="I8" s="449">
        <f>industrie!I18</f>
        <v>0</v>
      </c>
      <c r="J8" s="449">
        <f>industrie!J18</f>
        <v>135.77381163153689</v>
      </c>
      <c r="K8" s="449">
        <f>industrie!K18</f>
        <v>0</v>
      </c>
      <c r="L8" s="449">
        <f>industrie!L18</f>
        <v>0</v>
      </c>
      <c r="M8" s="449">
        <f>industrie!M18</f>
        <v>0</v>
      </c>
      <c r="N8" s="449">
        <f>industrie!N18</f>
        <v>964.64193966783137</v>
      </c>
      <c r="O8" s="449">
        <f>industrie!O18</f>
        <v>0</v>
      </c>
      <c r="P8" s="450">
        <f>industrie!P18</f>
        <v>0</v>
      </c>
      <c r="Q8" s="448">
        <f t="shared" si="0"/>
        <v>171209.91710118373</v>
      </c>
    </row>
    <row r="9" spans="1:17" s="454" customFormat="1">
      <c r="A9" s="452" t="s">
        <v>568</v>
      </c>
      <c r="B9" s="453">
        <f>transport!B14</f>
        <v>1.068215550894362</v>
      </c>
      <c r="C9" s="453">
        <f>transport!C14</f>
        <v>0</v>
      </c>
      <c r="D9" s="453">
        <f>transport!D14</f>
        <v>1.3432766322230147</v>
      </c>
      <c r="E9" s="453">
        <f>transport!E14</f>
        <v>85.35475138419271</v>
      </c>
      <c r="F9" s="453">
        <f>transport!F14</f>
        <v>0</v>
      </c>
      <c r="G9" s="453">
        <f>transport!G14</f>
        <v>28997.006133945099</v>
      </c>
      <c r="H9" s="453">
        <f>transport!H14</f>
        <v>3217.2193636846696</v>
      </c>
      <c r="I9" s="453">
        <f>transport!I14</f>
        <v>0</v>
      </c>
      <c r="J9" s="453">
        <f>transport!J14</f>
        <v>0</v>
      </c>
      <c r="K9" s="453">
        <f>transport!K14</f>
        <v>0</v>
      </c>
      <c r="L9" s="453">
        <f>transport!L14</f>
        <v>0</v>
      </c>
      <c r="M9" s="453">
        <f>transport!M14</f>
        <v>1437.6055067873556</v>
      </c>
      <c r="N9" s="453">
        <f>transport!N14</f>
        <v>0</v>
      </c>
      <c r="O9" s="453">
        <f>transport!O14</f>
        <v>0</v>
      </c>
      <c r="P9" s="453">
        <f>transport!P14</f>
        <v>0</v>
      </c>
      <c r="Q9" s="452">
        <f>SUM(B9:P9)</f>
        <v>33739.597247984435</v>
      </c>
    </row>
    <row r="10" spans="1:17">
      <c r="A10" s="448" t="s">
        <v>558</v>
      </c>
      <c r="B10" s="449">
        <f>transport!B54</f>
        <v>0.87719901535290346</v>
      </c>
      <c r="C10" s="449">
        <f>transport!C54</f>
        <v>0</v>
      </c>
      <c r="D10" s="449">
        <f>transport!D54</f>
        <v>0</v>
      </c>
      <c r="E10" s="449">
        <f>transport!E54</f>
        <v>0</v>
      </c>
      <c r="F10" s="449">
        <f>transport!F54</f>
        <v>0</v>
      </c>
      <c r="G10" s="449">
        <f>transport!G54</f>
        <v>174.95907306731851</v>
      </c>
      <c r="H10" s="449">
        <f>transport!H54</f>
        <v>0</v>
      </c>
      <c r="I10" s="449">
        <f>transport!I54</f>
        <v>0</v>
      </c>
      <c r="J10" s="449">
        <f>transport!J54</f>
        <v>0</v>
      </c>
      <c r="K10" s="449">
        <f>transport!K54</f>
        <v>0</v>
      </c>
      <c r="L10" s="449">
        <f>transport!L54</f>
        <v>0</v>
      </c>
      <c r="M10" s="449">
        <f>transport!M54</f>
        <v>7.7330046877026222</v>
      </c>
      <c r="N10" s="449">
        <f>transport!N54</f>
        <v>0</v>
      </c>
      <c r="O10" s="449">
        <f>transport!O54</f>
        <v>0</v>
      </c>
      <c r="P10" s="450">
        <f>transport!P54</f>
        <v>0</v>
      </c>
      <c r="Q10" s="448">
        <f t="shared" si="0"/>
        <v>183.56927677037405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498.83759704625101</v>
      </c>
      <c r="C14" s="456"/>
      <c r="D14" s="456">
        <f>'SEAP template'!E25</f>
        <v>758.08542787626197</v>
      </c>
      <c r="E14" s="456"/>
      <c r="F14" s="456"/>
      <c r="G14" s="456"/>
      <c r="H14" s="456"/>
      <c r="I14" s="456"/>
      <c r="J14" s="456"/>
      <c r="K14" s="456"/>
      <c r="L14" s="456"/>
      <c r="M14" s="456"/>
      <c r="N14" s="456"/>
      <c r="O14" s="456"/>
      <c r="P14" s="457"/>
      <c r="Q14" s="448">
        <f t="shared" si="0"/>
        <v>1256.9230249225129</v>
      </c>
    </row>
    <row r="15" spans="1:17" s="461" customFormat="1">
      <c r="A15" s="458" t="s">
        <v>562</v>
      </c>
      <c r="B15" s="459">
        <f ca="1">SUM(B4:B14)</f>
        <v>59795.853353808205</v>
      </c>
      <c r="C15" s="459">
        <f t="shared" ref="C15:Q15" ca="1" si="1">SUM(C4:C14)</f>
        <v>12857.142857142857</v>
      </c>
      <c r="D15" s="459">
        <f t="shared" ca="1" si="1"/>
        <v>158928.66924577279</v>
      </c>
      <c r="E15" s="459">
        <f t="shared" si="1"/>
        <v>1310.4223885671738</v>
      </c>
      <c r="F15" s="459">
        <f t="shared" ca="1" si="1"/>
        <v>37504.658074384766</v>
      </c>
      <c r="G15" s="459">
        <f t="shared" si="1"/>
        <v>29171.965207012418</v>
      </c>
      <c r="H15" s="459">
        <f t="shared" si="1"/>
        <v>3217.2193636846696</v>
      </c>
      <c r="I15" s="459">
        <f t="shared" si="1"/>
        <v>0</v>
      </c>
      <c r="J15" s="459">
        <f t="shared" si="1"/>
        <v>753.93923821411909</v>
      </c>
      <c r="K15" s="459">
        <f t="shared" si="1"/>
        <v>0</v>
      </c>
      <c r="L15" s="459">
        <f t="shared" ca="1" si="1"/>
        <v>0</v>
      </c>
      <c r="M15" s="459">
        <f t="shared" si="1"/>
        <v>1445.3385114750581</v>
      </c>
      <c r="N15" s="459">
        <f t="shared" ca="1" si="1"/>
        <v>5964.1156102758168</v>
      </c>
      <c r="O15" s="459">
        <f t="shared" si="1"/>
        <v>51.589999999999996</v>
      </c>
      <c r="P15" s="459">
        <f t="shared" si="1"/>
        <v>114.4</v>
      </c>
      <c r="Q15" s="459">
        <f t="shared" ca="1" si="1"/>
        <v>311115.31385033787</v>
      </c>
    </row>
    <row r="17" spans="1:17">
      <c r="A17" s="462" t="s">
        <v>563</v>
      </c>
      <c r="B17" s="766">
        <f ca="1">huishoudens!B10</f>
        <v>0.21410494019488413</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3069.4148379925582</v>
      </c>
      <c r="C22" s="449">
        <f t="shared" ref="C22:C32" ca="1" si="3">C4*$C$17</f>
        <v>0</v>
      </c>
      <c r="D22" s="449">
        <f t="shared" ref="D22:D32" si="4">D4*$D$17</f>
        <v>4504.1460828189347</v>
      </c>
      <c r="E22" s="449">
        <f t="shared" ref="E22:E32" si="5">E4*$E$17</f>
        <v>188.68963105675985</v>
      </c>
      <c r="F22" s="449">
        <f t="shared" ref="F22:F32" si="6">F4*$F$17</f>
        <v>6766.2728668217287</v>
      </c>
      <c r="G22" s="449">
        <f t="shared" ref="G22:G32" si="7">G4*$G$17</f>
        <v>0</v>
      </c>
      <c r="H22" s="449">
        <f t="shared" ref="H22:H32" si="8">H4*$H$17</f>
        <v>0</v>
      </c>
      <c r="I22" s="449">
        <f t="shared" ref="I22:I32" si="9">I4*$I$17</f>
        <v>0</v>
      </c>
      <c r="J22" s="449">
        <f t="shared" ref="J22:J32" si="10">J4*$J$17</f>
        <v>162.77591338976214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14691.299332079743</v>
      </c>
    </row>
    <row r="23" spans="1:17">
      <c r="A23" s="448" t="s">
        <v>155</v>
      </c>
      <c r="B23" s="449">
        <f t="shared" ca="1" si="2"/>
        <v>1706.0948109463852</v>
      </c>
      <c r="C23" s="449">
        <f t="shared" ca="1" si="3"/>
        <v>0</v>
      </c>
      <c r="D23" s="449">
        <f t="shared" ca="1" si="4"/>
        <v>1534.1181568644245</v>
      </c>
      <c r="E23" s="449">
        <f t="shared" si="5"/>
        <v>14.541580135227633</v>
      </c>
      <c r="F23" s="449">
        <f t="shared" ca="1" si="6"/>
        <v>381.04094236421145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3635.7954903102486</v>
      </c>
    </row>
    <row r="24" spans="1:17">
      <c r="A24" s="448" t="s">
        <v>193</v>
      </c>
      <c r="B24" s="449">
        <f t="shared" ca="1" si="2"/>
        <v>159.36023393151402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159.36023393151402</v>
      </c>
    </row>
    <row r="25" spans="1:17">
      <c r="A25" s="448" t="s">
        <v>111</v>
      </c>
      <c r="B25" s="449">
        <f t="shared" ca="1" si="2"/>
        <v>274.06165549537138</v>
      </c>
      <c r="C25" s="449">
        <f t="shared" ca="1" si="3"/>
        <v>3055.4621848739503</v>
      </c>
      <c r="D25" s="449">
        <f t="shared" si="4"/>
        <v>1.9743716417376347</v>
      </c>
      <c r="E25" s="449">
        <f t="shared" si="5"/>
        <v>2.737343114470113</v>
      </c>
      <c r="F25" s="449">
        <f t="shared" si="6"/>
        <v>1115.3061382711653</v>
      </c>
      <c r="G25" s="449">
        <f t="shared" si="7"/>
        <v>0</v>
      </c>
      <c r="H25" s="449">
        <f t="shared" si="8"/>
        <v>0</v>
      </c>
      <c r="I25" s="449">
        <f t="shared" si="9"/>
        <v>0</v>
      </c>
      <c r="J25" s="449">
        <f t="shared" si="10"/>
        <v>56.054647620471947</v>
      </c>
      <c r="K25" s="449">
        <f t="shared" si="11"/>
        <v>0</v>
      </c>
      <c r="L25" s="449">
        <f t="shared" si="12"/>
        <v>0</v>
      </c>
      <c r="M25" s="449">
        <f t="shared" si="13"/>
        <v>0</v>
      </c>
      <c r="N25" s="449">
        <f t="shared" si="14"/>
        <v>0</v>
      </c>
      <c r="O25" s="449">
        <f t="shared" si="15"/>
        <v>0</v>
      </c>
      <c r="P25" s="450">
        <f t="shared" si="16"/>
        <v>0</v>
      </c>
      <c r="Q25" s="448">
        <f t="shared" ca="1" si="17"/>
        <v>4505.5963410171662</v>
      </c>
    </row>
    <row r="26" spans="1:17">
      <c r="A26" s="448" t="s">
        <v>671</v>
      </c>
      <c r="B26" s="449">
        <f t="shared" ca="1" si="2"/>
        <v>7486.43595110143</v>
      </c>
      <c r="C26" s="449">
        <f t="shared" ca="1" si="3"/>
        <v>0</v>
      </c>
      <c r="D26" s="449">
        <f t="shared" si="4"/>
        <v>25909.947978010288</v>
      </c>
      <c r="E26" s="449">
        <f t="shared" si="5"/>
        <v>72.1217993340791</v>
      </c>
      <c r="F26" s="449">
        <f t="shared" si="6"/>
        <v>1751.1237584036271</v>
      </c>
      <c r="G26" s="449">
        <f t="shared" si="7"/>
        <v>0</v>
      </c>
      <c r="H26" s="449">
        <f t="shared" si="8"/>
        <v>0</v>
      </c>
      <c r="I26" s="449">
        <f t="shared" si="9"/>
        <v>0</v>
      </c>
      <c r="J26" s="449">
        <f t="shared" si="10"/>
        <v>48.063929317564053</v>
      </c>
      <c r="K26" s="449">
        <f t="shared" si="11"/>
        <v>0</v>
      </c>
      <c r="L26" s="449">
        <f t="shared" si="12"/>
        <v>0</v>
      </c>
      <c r="M26" s="449">
        <f t="shared" si="13"/>
        <v>0</v>
      </c>
      <c r="N26" s="449">
        <f t="shared" si="14"/>
        <v>0</v>
      </c>
      <c r="O26" s="449">
        <f t="shared" si="15"/>
        <v>0</v>
      </c>
      <c r="P26" s="450">
        <f t="shared" si="16"/>
        <v>0</v>
      </c>
      <c r="Q26" s="448">
        <f t="shared" ca="1" si="17"/>
        <v>35267.693416166985</v>
      </c>
    </row>
    <row r="27" spans="1:17" s="454" customFormat="1">
      <c r="A27" s="452" t="s">
        <v>568</v>
      </c>
      <c r="B27" s="760">
        <f t="shared" ca="1" si="2"/>
        <v>0.22871022663948259</v>
      </c>
      <c r="C27" s="453">
        <f t="shared" ca="1" si="3"/>
        <v>0</v>
      </c>
      <c r="D27" s="453">
        <f t="shared" si="4"/>
        <v>0.27134187970904899</v>
      </c>
      <c r="E27" s="453">
        <f t="shared" si="5"/>
        <v>19.375528564211745</v>
      </c>
      <c r="F27" s="453">
        <f t="shared" si="6"/>
        <v>0</v>
      </c>
      <c r="G27" s="453">
        <f t="shared" si="7"/>
        <v>7742.2006377633415</v>
      </c>
      <c r="H27" s="453">
        <f t="shared" si="8"/>
        <v>801.08762155748275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8563.1638399913845</v>
      </c>
    </row>
    <row r="28" spans="1:17">
      <c r="A28" s="448" t="s">
        <v>558</v>
      </c>
      <c r="B28" s="449">
        <f t="shared" ca="1" si="2"/>
        <v>0.18781264272114465</v>
      </c>
      <c r="C28" s="449">
        <f t="shared" ca="1" si="3"/>
        <v>0</v>
      </c>
      <c r="D28" s="449">
        <f t="shared" si="4"/>
        <v>0</v>
      </c>
      <c r="E28" s="449">
        <f t="shared" si="5"/>
        <v>0</v>
      </c>
      <c r="F28" s="449">
        <f t="shared" si="6"/>
        <v>0</v>
      </c>
      <c r="G28" s="449">
        <f t="shared" si="7"/>
        <v>46.714072508974049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46.90188515169519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106.80359388254728</v>
      </c>
      <c r="C32" s="449">
        <f t="shared" ca="1" si="3"/>
        <v>0</v>
      </c>
      <c r="D32" s="449">
        <f t="shared" si="4"/>
        <v>153.13325643100492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259.93685031355221</v>
      </c>
    </row>
    <row r="33" spans="1:17" s="461" customFormat="1">
      <c r="A33" s="458" t="s">
        <v>562</v>
      </c>
      <c r="B33" s="459">
        <f ca="1">SUM(B22:B32)</f>
        <v>12802.587606219167</v>
      </c>
      <c r="C33" s="459">
        <f t="shared" ref="C33:Q33" ca="1" si="18">SUM(C22:C32)</f>
        <v>3055.4621848739503</v>
      </c>
      <c r="D33" s="459">
        <f t="shared" ca="1" si="18"/>
        <v>32103.5911876461</v>
      </c>
      <c r="E33" s="459">
        <f t="shared" si="18"/>
        <v>297.46588220474843</v>
      </c>
      <c r="F33" s="459">
        <f t="shared" ca="1" si="18"/>
        <v>10013.743705860732</v>
      </c>
      <c r="G33" s="459">
        <f t="shared" si="18"/>
        <v>7788.9147102723155</v>
      </c>
      <c r="H33" s="459">
        <f t="shared" si="18"/>
        <v>801.08762155748275</v>
      </c>
      <c r="I33" s="459">
        <f t="shared" si="18"/>
        <v>0</v>
      </c>
      <c r="J33" s="459">
        <f t="shared" si="18"/>
        <v>266.89449032779811</v>
      </c>
      <c r="K33" s="459">
        <f t="shared" si="18"/>
        <v>0</v>
      </c>
      <c r="L33" s="459">
        <f t="shared" ca="1" si="18"/>
        <v>0</v>
      </c>
      <c r="M33" s="459">
        <f t="shared" si="18"/>
        <v>0</v>
      </c>
      <c r="N33" s="459">
        <f t="shared" ca="1" si="18"/>
        <v>0</v>
      </c>
      <c r="O33" s="459">
        <f t="shared" si="18"/>
        <v>0</v>
      </c>
      <c r="P33" s="459">
        <f t="shared" si="18"/>
        <v>0</v>
      </c>
      <c r="Q33" s="459">
        <f t="shared" ca="1" si="18"/>
        <v>67129.747388962278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2543.5272144081991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9000</v>
      </c>
      <c r="D8" s="1015">
        <f>'SEAP template'!D76</f>
        <v>10588.235294117649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2138.8235294117653</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2543.5272144081991</v>
      </c>
      <c r="C10" s="1019">
        <f>SUM(C4:C9)</f>
        <v>9000</v>
      </c>
      <c r="D10" s="1019">
        <f t="shared" ref="D10:H10" si="0">SUM(D8:D9)</f>
        <v>10588.235294117649</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2138.8235294117653</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0.21410494019488413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12857.142857142857</v>
      </c>
      <c r="D17" s="1016">
        <f>'SEAP template'!D87</f>
        <v>15126.050420168069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3055.4621848739503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12857.142857142857</v>
      </c>
      <c r="D20" s="1019">
        <f t="shared" ref="D20:H20" si="2">SUM(D17:D19)</f>
        <v>15126.050420168069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3055.4621848739503</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0.21410494019488413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0.21410494019488413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0.21410494019488413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3032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979</v>
      </c>
      <c r="C14" s="327"/>
      <c r="D14" s="327"/>
      <c r="E14" s="327"/>
      <c r="F14" s="327"/>
    </row>
    <row r="15" spans="1:6">
      <c r="A15" s="1295" t="s">
        <v>183</v>
      </c>
      <c r="B15" s="1296">
        <v>12</v>
      </c>
      <c r="C15" s="327"/>
      <c r="D15" s="327"/>
      <c r="E15" s="327"/>
      <c r="F15" s="327"/>
    </row>
    <row r="16" spans="1:6">
      <c r="A16" s="1295" t="s">
        <v>6</v>
      </c>
      <c r="B16" s="1296">
        <v>510</v>
      </c>
      <c r="C16" s="327"/>
      <c r="D16" s="327"/>
      <c r="E16" s="327"/>
      <c r="F16" s="327"/>
    </row>
    <row r="17" spans="1:6">
      <c r="A17" s="1295" t="s">
        <v>7</v>
      </c>
      <c r="B17" s="1296">
        <v>485</v>
      </c>
      <c r="C17" s="327"/>
      <c r="D17" s="327"/>
      <c r="E17" s="327"/>
      <c r="F17" s="327"/>
    </row>
    <row r="18" spans="1:6">
      <c r="A18" s="1295" t="s">
        <v>8</v>
      </c>
      <c r="B18" s="1296">
        <v>741</v>
      </c>
      <c r="C18" s="327"/>
      <c r="D18" s="327"/>
      <c r="E18" s="327"/>
      <c r="F18" s="327"/>
    </row>
    <row r="19" spans="1:6">
      <c r="A19" s="1295" t="s">
        <v>9</v>
      </c>
      <c r="B19" s="1296">
        <v>698</v>
      </c>
      <c r="C19" s="327"/>
      <c r="D19" s="327"/>
      <c r="E19" s="327"/>
      <c r="F19" s="327"/>
    </row>
    <row r="20" spans="1:6">
      <c r="A20" s="1295" t="s">
        <v>10</v>
      </c>
      <c r="B20" s="1296">
        <v>352</v>
      </c>
      <c r="C20" s="327"/>
      <c r="D20" s="327"/>
      <c r="E20" s="327"/>
      <c r="F20" s="327"/>
    </row>
    <row r="21" spans="1:6">
      <c r="A21" s="1295" t="s">
        <v>11</v>
      </c>
      <c r="B21" s="1296">
        <v>2887</v>
      </c>
      <c r="C21" s="327"/>
      <c r="D21" s="327"/>
      <c r="E21" s="327"/>
      <c r="F21" s="327"/>
    </row>
    <row r="22" spans="1:6">
      <c r="A22" s="1295" t="s">
        <v>12</v>
      </c>
      <c r="B22" s="1296">
        <v>15505</v>
      </c>
      <c r="C22" s="327"/>
      <c r="D22" s="327"/>
      <c r="E22" s="327"/>
      <c r="F22" s="327"/>
    </row>
    <row r="23" spans="1:6">
      <c r="A23" s="1295" t="s">
        <v>13</v>
      </c>
      <c r="B23" s="1296">
        <v>75</v>
      </c>
      <c r="C23" s="327"/>
      <c r="D23" s="327"/>
      <c r="E23" s="327"/>
      <c r="F23" s="327"/>
    </row>
    <row r="24" spans="1:6">
      <c r="A24" s="1295" t="s">
        <v>14</v>
      </c>
      <c r="B24" s="1296">
        <v>8</v>
      </c>
      <c r="C24" s="327"/>
      <c r="D24" s="327"/>
      <c r="E24" s="327"/>
      <c r="F24" s="327"/>
    </row>
    <row r="25" spans="1:6">
      <c r="A25" s="1295" t="s">
        <v>15</v>
      </c>
      <c r="B25" s="1296">
        <v>832</v>
      </c>
      <c r="C25" s="327"/>
      <c r="D25" s="327"/>
      <c r="E25" s="327"/>
      <c r="F25" s="327"/>
    </row>
    <row r="26" spans="1:6">
      <c r="A26" s="1295" t="s">
        <v>16</v>
      </c>
      <c r="B26" s="1296">
        <v>11</v>
      </c>
      <c r="C26" s="327"/>
      <c r="D26" s="327"/>
      <c r="E26" s="327"/>
      <c r="F26" s="327"/>
    </row>
    <row r="27" spans="1:6">
      <c r="A27" s="1295" t="s">
        <v>17</v>
      </c>
      <c r="B27" s="1296">
        <v>3</v>
      </c>
      <c r="C27" s="327"/>
      <c r="D27" s="327"/>
      <c r="E27" s="327"/>
      <c r="F27" s="327"/>
    </row>
    <row r="28" spans="1:6" s="44" customFormat="1">
      <c r="A28" s="1297" t="s">
        <v>18</v>
      </c>
      <c r="B28" s="1298">
        <v>223834</v>
      </c>
      <c r="C28" s="333"/>
      <c r="D28" s="333"/>
      <c r="E28" s="333"/>
      <c r="F28" s="333"/>
    </row>
    <row r="29" spans="1:6">
      <c r="A29" s="1297" t="s">
        <v>961</v>
      </c>
      <c r="B29" s="1298">
        <v>16</v>
      </c>
      <c r="C29" s="333"/>
      <c r="D29" s="333"/>
      <c r="E29" s="333"/>
      <c r="F29" s="333"/>
    </row>
    <row r="30" spans="1:6">
      <c r="A30" s="1290" t="s">
        <v>962</v>
      </c>
      <c r="B30" s="1299">
        <v>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3.425064184</v>
      </c>
      <c r="E38" s="1296">
        <v>1</v>
      </c>
      <c r="F38" s="1296">
        <v>117807.20553381</v>
      </c>
    </row>
    <row r="39" spans="1:6">
      <c r="A39" s="1295" t="s">
        <v>29</v>
      </c>
      <c r="B39" s="1295" t="s">
        <v>30</v>
      </c>
      <c r="C39" s="1296">
        <v>1503</v>
      </c>
      <c r="D39" s="1296">
        <v>24720346.879425999</v>
      </c>
      <c r="E39" s="1296">
        <v>2886</v>
      </c>
      <c r="F39" s="1296">
        <v>12944381.811225699</v>
      </c>
    </row>
    <row r="40" spans="1:6">
      <c r="A40" s="1295" t="s">
        <v>29</v>
      </c>
      <c r="B40" s="1295" t="s">
        <v>28</v>
      </c>
      <c r="C40" s="1296">
        <v>0</v>
      </c>
      <c r="D40" s="1296">
        <v>0</v>
      </c>
      <c r="E40" s="1296">
        <v>0</v>
      </c>
      <c r="F40" s="1296">
        <v>0</v>
      </c>
    </row>
    <row r="41" spans="1:6">
      <c r="A41" s="1295" t="s">
        <v>31</v>
      </c>
      <c r="B41" s="1295" t="s">
        <v>32</v>
      </c>
      <c r="C41" s="1296">
        <v>16</v>
      </c>
      <c r="D41" s="1296">
        <v>310365.92987247102</v>
      </c>
      <c r="E41" s="1296">
        <v>96</v>
      </c>
      <c r="F41" s="1296">
        <v>675278.76426596101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20</v>
      </c>
      <c r="F44" s="1296">
        <v>353115.54672223702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24</v>
      </c>
      <c r="D48" s="1296">
        <v>141659380.84341499</v>
      </c>
      <c r="E48" s="1296">
        <v>32</v>
      </c>
      <c r="F48" s="1296">
        <v>25828979.318574201</v>
      </c>
    </row>
    <row r="49" spans="1:6">
      <c r="A49" s="1295" t="s">
        <v>31</v>
      </c>
      <c r="B49" s="1295" t="s">
        <v>39</v>
      </c>
      <c r="C49" s="1296">
        <v>0</v>
      </c>
      <c r="D49" s="1296">
        <v>0</v>
      </c>
      <c r="E49" s="1296">
        <v>3</v>
      </c>
      <c r="F49" s="1296">
        <v>155222.281659828</v>
      </c>
    </row>
    <row r="50" spans="1:6">
      <c r="A50" s="1295" t="s">
        <v>31</v>
      </c>
      <c r="B50" s="1295" t="s">
        <v>40</v>
      </c>
      <c r="C50" s="1296">
        <v>4</v>
      </c>
      <c r="D50" s="1296">
        <v>233212.42634750201</v>
      </c>
      <c r="E50" s="1296">
        <v>9</v>
      </c>
      <c r="F50" s="1296">
        <v>7953603.1138309697</v>
      </c>
    </row>
    <row r="51" spans="1:6">
      <c r="A51" s="1295" t="s">
        <v>41</v>
      </c>
      <c r="B51" s="1295" t="s">
        <v>42</v>
      </c>
      <c r="C51" s="1296">
        <v>0</v>
      </c>
      <c r="D51" s="1296">
        <v>0</v>
      </c>
      <c r="E51" s="1296">
        <v>66</v>
      </c>
      <c r="F51" s="1296">
        <v>1145890.9797398001</v>
      </c>
    </row>
    <row r="52" spans="1:6">
      <c r="A52" s="1295" t="s">
        <v>41</v>
      </c>
      <c r="B52" s="1295" t="s">
        <v>28</v>
      </c>
      <c r="C52" s="1296">
        <v>4</v>
      </c>
      <c r="D52" s="1296">
        <v>28518913.3384967</v>
      </c>
      <c r="E52" s="1296">
        <v>6</v>
      </c>
      <c r="F52" s="1296">
        <v>134143.26536408701</v>
      </c>
    </row>
    <row r="53" spans="1:6">
      <c r="A53" s="1295" t="s">
        <v>43</v>
      </c>
      <c r="B53" s="1295" t="s">
        <v>44</v>
      </c>
      <c r="C53" s="1296">
        <v>47</v>
      </c>
      <c r="D53" s="1296">
        <v>758085.42787626199</v>
      </c>
      <c r="E53" s="1296">
        <v>95</v>
      </c>
      <c r="F53" s="1296">
        <v>498837.597046251</v>
      </c>
    </row>
    <row r="54" spans="1:6">
      <c r="A54" s="1295" t="s">
        <v>45</v>
      </c>
      <c r="B54" s="1295" t="s">
        <v>46</v>
      </c>
      <c r="C54" s="1296">
        <v>0</v>
      </c>
      <c r="D54" s="1296">
        <v>0</v>
      </c>
      <c r="E54" s="1296">
        <v>1</v>
      </c>
      <c r="F54" s="1296">
        <v>744309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18</v>
      </c>
      <c r="D57" s="1296">
        <v>701447.67327849602</v>
      </c>
      <c r="E57" s="1296">
        <v>42</v>
      </c>
      <c r="F57" s="1296">
        <v>660053.83139889303</v>
      </c>
    </row>
    <row r="58" spans="1:6">
      <c r="A58" s="1295" t="s">
        <v>48</v>
      </c>
      <c r="B58" s="1295" t="s">
        <v>50</v>
      </c>
      <c r="C58" s="1296">
        <v>0</v>
      </c>
      <c r="D58" s="1296">
        <v>0</v>
      </c>
      <c r="E58" s="1296">
        <v>0</v>
      </c>
      <c r="F58" s="1296">
        <v>0</v>
      </c>
    </row>
    <row r="59" spans="1:6">
      <c r="A59" s="1295" t="s">
        <v>48</v>
      </c>
      <c r="B59" s="1295" t="s">
        <v>51</v>
      </c>
      <c r="C59" s="1296">
        <v>17</v>
      </c>
      <c r="D59" s="1296">
        <v>661447.35549226101</v>
      </c>
      <c r="E59" s="1296">
        <v>91</v>
      </c>
      <c r="F59" s="1296">
        <v>1954224.9771213101</v>
      </c>
    </row>
    <row r="60" spans="1:6">
      <c r="A60" s="1295" t="s">
        <v>48</v>
      </c>
      <c r="B60" s="1295" t="s">
        <v>52</v>
      </c>
      <c r="C60" s="1296">
        <v>14</v>
      </c>
      <c r="D60" s="1296">
        <v>382019.92533509101</v>
      </c>
      <c r="E60" s="1296">
        <v>26</v>
      </c>
      <c r="F60" s="1296">
        <v>581736.94144304597</v>
      </c>
    </row>
    <row r="61" spans="1:6">
      <c r="A61" s="1295" t="s">
        <v>48</v>
      </c>
      <c r="B61" s="1295" t="s">
        <v>53</v>
      </c>
      <c r="C61" s="1296">
        <v>24</v>
      </c>
      <c r="D61" s="1296">
        <v>2050591.8035909601</v>
      </c>
      <c r="E61" s="1296">
        <v>93</v>
      </c>
      <c r="F61" s="1296">
        <v>3234117.8247540998</v>
      </c>
    </row>
    <row r="62" spans="1:6">
      <c r="A62" s="1295" t="s">
        <v>48</v>
      </c>
      <c r="B62" s="1295" t="s">
        <v>54</v>
      </c>
      <c r="C62" s="1296">
        <v>0</v>
      </c>
      <c r="D62" s="1296">
        <v>0</v>
      </c>
      <c r="E62" s="1296">
        <v>4</v>
      </c>
      <c r="F62" s="1296">
        <v>81205.495612015802</v>
      </c>
    </row>
    <row r="63" spans="1:6">
      <c r="A63" s="1295" t="s">
        <v>48</v>
      </c>
      <c r="B63" s="1295" t="s">
        <v>28</v>
      </c>
      <c r="C63" s="1296">
        <v>79</v>
      </c>
      <c r="D63" s="1296">
        <v>4624276.3253552904</v>
      </c>
      <c r="E63" s="1296">
        <v>96</v>
      </c>
      <c r="F63" s="1296">
        <v>1457159.0380909799</v>
      </c>
    </row>
    <row r="64" spans="1:6">
      <c r="A64" s="1295" t="s">
        <v>55</v>
      </c>
      <c r="B64" s="1295" t="s">
        <v>56</v>
      </c>
      <c r="C64" s="1296">
        <v>0</v>
      </c>
      <c r="D64" s="1296">
        <v>0</v>
      </c>
      <c r="E64" s="1296">
        <v>0</v>
      </c>
      <c r="F64" s="1296">
        <v>0</v>
      </c>
    </row>
    <row r="65" spans="1:6">
      <c r="A65" s="1295" t="s">
        <v>55</v>
      </c>
      <c r="B65" s="1295" t="s">
        <v>28</v>
      </c>
      <c r="C65" s="1296">
        <v>1</v>
      </c>
      <c r="D65" s="1296">
        <v>5132.9302461119996</v>
      </c>
      <c r="E65" s="1296">
        <v>1</v>
      </c>
      <c r="F65" s="1296">
        <v>11790.1998767737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9</v>
      </c>
      <c r="F68" s="1299">
        <v>229671.783828908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17987602</v>
      </c>
      <c r="E73" s="447"/>
      <c r="F73" s="327"/>
    </row>
    <row r="74" spans="1:6">
      <c r="A74" s="1295" t="s">
        <v>63</v>
      </c>
      <c r="B74" s="1295" t="s">
        <v>755</v>
      </c>
      <c r="C74" s="1309" t="s">
        <v>749</v>
      </c>
      <c r="D74" s="1310">
        <v>4115128.2340555042</v>
      </c>
      <c r="E74" s="447"/>
      <c r="F74" s="327"/>
    </row>
    <row r="75" spans="1:6">
      <c r="A75" s="1295" t="s">
        <v>64</v>
      </c>
      <c r="B75" s="1295" t="s">
        <v>754</v>
      </c>
      <c r="C75" s="1309" t="s">
        <v>750</v>
      </c>
      <c r="D75" s="1310">
        <v>6793564</v>
      </c>
      <c r="E75" s="447"/>
      <c r="F75" s="327"/>
    </row>
    <row r="76" spans="1:6">
      <c r="A76" s="1295" t="s">
        <v>64</v>
      </c>
      <c r="B76" s="1295" t="s">
        <v>755</v>
      </c>
      <c r="C76" s="1309" t="s">
        <v>751</v>
      </c>
      <c r="D76" s="1310">
        <v>1422752.2340555042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48327.531888991587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1391.6481523925779</v>
      </c>
      <c r="C91" s="327"/>
      <c r="D91" s="327"/>
      <c r="E91" s="327"/>
      <c r="F91" s="327"/>
    </row>
    <row r="92" spans="1:6">
      <c r="A92" s="1290" t="s">
        <v>68</v>
      </c>
      <c r="B92" s="1291">
        <v>1151.8790620156212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824</v>
      </c>
      <c r="C97" s="327"/>
      <c r="D97" s="327"/>
      <c r="E97" s="327"/>
      <c r="F97" s="327"/>
    </row>
    <row r="98" spans="1:6">
      <c r="A98" s="1295" t="s">
        <v>71</v>
      </c>
      <c r="B98" s="1296">
        <v>0</v>
      </c>
      <c r="C98" s="327"/>
      <c r="D98" s="327"/>
      <c r="E98" s="327"/>
      <c r="F98" s="327"/>
    </row>
    <row r="99" spans="1:6">
      <c r="A99" s="1295" t="s">
        <v>72</v>
      </c>
      <c r="B99" s="1296">
        <v>50</v>
      </c>
      <c r="C99" s="327"/>
      <c r="D99" s="327"/>
      <c r="E99" s="327"/>
      <c r="F99" s="327"/>
    </row>
    <row r="100" spans="1:6">
      <c r="A100" s="1295" t="s">
        <v>73</v>
      </c>
      <c r="B100" s="1296">
        <v>270</v>
      </c>
      <c r="C100" s="327"/>
      <c r="D100" s="327"/>
      <c r="E100" s="327"/>
      <c r="F100" s="327"/>
    </row>
    <row r="101" spans="1:6">
      <c r="A101" s="1295" t="s">
        <v>74</v>
      </c>
      <c r="B101" s="1296">
        <v>66</v>
      </c>
      <c r="C101" s="327"/>
      <c r="D101" s="327"/>
      <c r="E101" s="327"/>
      <c r="F101" s="327"/>
    </row>
    <row r="102" spans="1:6">
      <c r="A102" s="1295" t="s">
        <v>75</v>
      </c>
      <c r="B102" s="1296">
        <v>62</v>
      </c>
      <c r="C102" s="327"/>
      <c r="D102" s="327"/>
      <c r="E102" s="327"/>
      <c r="F102" s="327"/>
    </row>
    <row r="103" spans="1:6">
      <c r="A103" s="1295" t="s">
        <v>76</v>
      </c>
      <c r="B103" s="1296">
        <v>87</v>
      </c>
      <c r="C103" s="327"/>
      <c r="D103" s="327"/>
      <c r="E103" s="327"/>
      <c r="F103" s="327"/>
    </row>
    <row r="104" spans="1:6">
      <c r="A104" s="1295" t="s">
        <v>77</v>
      </c>
      <c r="B104" s="1296">
        <v>1363</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3</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29</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59795.853353808205</v>
      </c>
      <c r="C3" s="44" t="s">
        <v>169</v>
      </c>
      <c r="D3" s="44"/>
      <c r="E3" s="157"/>
      <c r="F3" s="44"/>
      <c r="G3" s="44"/>
      <c r="H3" s="44"/>
      <c r="I3" s="44"/>
      <c r="J3" s="44"/>
      <c r="K3" s="97"/>
    </row>
    <row r="4" spans="1:11">
      <c r="A4" s="354" t="s">
        <v>170</v>
      </c>
      <c r="B4" s="50">
        <f>IF(ISERROR('SEAP template'!B78+'SEAP template'!C78),0,'SEAP template'!B78+'SEAP template'!C78)</f>
        <v>11543.527214408199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2138.8235294117653</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0.21410494019488413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3055.4621848739503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12857.142857142857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744.30899999999997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744.30899999999997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0.21410494019488413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159.36023393151402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12944.381811225699</v>
      </c>
      <c r="C5" s="18">
        <f>IF(ISERROR('Eigen informatie GS &amp; warmtenet'!B57),0,'Eigen informatie GS &amp; warmtenet'!B57)</f>
        <v>0</v>
      </c>
      <c r="D5" s="31">
        <f>(SUM(HH_hh_gas_kWh,HH_rest_gas_kWh)/1000)*0.902</f>
        <v>22297.752885242251</v>
      </c>
      <c r="E5" s="18">
        <f>B32*B41</f>
        <v>831.23185487559408</v>
      </c>
      <c r="F5" s="18">
        <f>B36*B45</f>
        <v>25341.845943152541</v>
      </c>
      <c r="G5" s="19"/>
      <c r="H5" s="18"/>
      <c r="I5" s="18"/>
      <c r="J5" s="18">
        <f>B35*B44+C35*C44</f>
        <v>459.81896437785917</v>
      </c>
      <c r="K5" s="18"/>
      <c r="L5" s="18"/>
      <c r="M5" s="18"/>
      <c r="N5" s="18">
        <f>B34*B43+C34*C43</f>
        <v>4512.1713043567497</v>
      </c>
      <c r="O5" s="18">
        <f>B52*B53*B54</f>
        <v>51.589999999999996</v>
      </c>
      <c r="P5" s="18">
        <f>B60*B61*B62/1000-B60*B61*B62/1000/B63</f>
        <v>114.4</v>
      </c>
    </row>
    <row r="6" spans="1:16">
      <c r="A6" s="17" t="s">
        <v>628</v>
      </c>
      <c r="B6" s="768">
        <f>kWh_PV_kleiner_dan_10kW</f>
        <v>1391.6481523925779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14336.029963618277</v>
      </c>
      <c r="C8" s="22">
        <f>C5</f>
        <v>0</v>
      </c>
      <c r="D8" s="22">
        <f>D5</f>
        <v>22297.752885242251</v>
      </c>
      <c r="E8" s="22">
        <f>E5</f>
        <v>831.23185487559408</v>
      </c>
      <c r="F8" s="22">
        <f>F5</f>
        <v>25341.845943152541</v>
      </c>
      <c r="G8" s="22"/>
      <c r="H8" s="22"/>
      <c r="I8" s="22"/>
      <c r="J8" s="22">
        <f>J5</f>
        <v>459.81896437785917</v>
      </c>
      <c r="K8" s="22"/>
      <c r="L8" s="22">
        <f>L5</f>
        <v>0</v>
      </c>
      <c r="M8" s="22">
        <f>M5</f>
        <v>0</v>
      </c>
      <c r="N8" s="22">
        <f>N5</f>
        <v>4512.1713043567497</v>
      </c>
      <c r="O8" s="22">
        <f>O5</f>
        <v>51.589999999999996</v>
      </c>
      <c r="P8" s="22">
        <f>P5</f>
        <v>114.4</v>
      </c>
    </row>
    <row r="9" spans="1:16">
      <c r="B9" s="20"/>
      <c r="C9" s="20"/>
      <c r="D9" s="258"/>
      <c r="E9" s="20"/>
      <c r="F9" s="20"/>
      <c r="G9" s="20"/>
      <c r="H9" s="20"/>
      <c r="I9" s="20"/>
      <c r="J9" s="20"/>
      <c r="K9" s="20"/>
      <c r="L9" s="20"/>
      <c r="M9" s="20"/>
      <c r="N9" s="20"/>
      <c r="O9" s="20"/>
      <c r="P9" s="20"/>
    </row>
    <row r="10" spans="1:16">
      <c r="A10" s="25" t="s">
        <v>213</v>
      </c>
      <c r="B10" s="26">
        <f ca="1">'EF ele_warmte'!B12</f>
        <v>0.21410494019488413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3069.4148379925582</v>
      </c>
      <c r="C12" s="24">
        <f ca="1">C10*C8</f>
        <v>0</v>
      </c>
      <c r="D12" s="24">
        <f>D8*D10</f>
        <v>4504.1460828189347</v>
      </c>
      <c r="E12" s="24">
        <f>E10*E8</f>
        <v>188.68963105675985</v>
      </c>
      <c r="F12" s="24">
        <f>F10*F8</f>
        <v>6766.2728668217287</v>
      </c>
      <c r="G12" s="24"/>
      <c r="H12" s="24"/>
      <c r="I12" s="24"/>
      <c r="J12" s="24">
        <f>J10*J8</f>
        <v>162.77591338976214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3032</v>
      </c>
      <c r="C26" s="37"/>
      <c r="D26" s="228"/>
    </row>
    <row r="27" spans="1:5" s="16" customFormat="1">
      <c r="A27" s="230" t="s">
        <v>654</v>
      </c>
      <c r="B27" s="38">
        <f>SUM(HH_hh_gas_aantal,HH_rest_gas_aantal)</f>
        <v>1503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1427.85</v>
      </c>
      <c r="C31" s="35" t="s">
        <v>110</v>
      </c>
      <c r="D31" s="174"/>
    </row>
    <row r="32" spans="1:5">
      <c r="A32" s="171" t="s">
        <v>72</v>
      </c>
      <c r="B32" s="34">
        <f>IF((B21*($B$26-($B$27-0.05*$B$27)-$B$60))&lt;0,0,B21*($B$26-($B$27-0.05*$B$27)-$B$60))</f>
        <v>39.275064547838518</v>
      </c>
      <c r="C32" s="35" t="s">
        <v>110</v>
      </c>
      <c r="D32" s="174"/>
    </row>
    <row r="33" spans="1:6">
      <c r="A33" s="171" t="s">
        <v>73</v>
      </c>
      <c r="B33" s="34">
        <f>IF((B22*($B$26-($B$27-0.05*$B$27)-$B$60))&lt;0,0,B22*($B$26-($B$27-0.05*$B$27)-$B$60))</f>
        <v>264.36724775426245</v>
      </c>
      <c r="C33" s="35" t="s">
        <v>110</v>
      </c>
      <c r="D33" s="174"/>
    </row>
    <row r="34" spans="1:6">
      <c r="A34" s="171" t="s">
        <v>74</v>
      </c>
      <c r="B34" s="34">
        <f>IF((B24*($B$26-($B$27-0.05*$B$27)-$B$60))&lt;0,0,B24*($B$26-($B$27-0.05*$B$27)-$B$60))</f>
        <v>67.049106387150218</v>
      </c>
      <c r="C34" s="34">
        <f>B26*C24</f>
        <v>620.05105749262702</v>
      </c>
      <c r="D34" s="233"/>
    </row>
    <row r="35" spans="1:6">
      <c r="A35" s="171" t="s">
        <v>76</v>
      </c>
      <c r="B35" s="34">
        <f>IF((B19*($B$26-($B$27-0.05*$B$27)-$B$60))&lt;0,0,B19*($B$26-($B$27-0.05*$B$27)-$B$60))</f>
        <v>24.926735925474883</v>
      </c>
      <c r="C35" s="34">
        <f>B35/2</f>
        <v>12.463367962737442</v>
      </c>
      <c r="D35" s="233"/>
    </row>
    <row r="36" spans="1:6">
      <c r="A36" s="171" t="s">
        <v>77</v>
      </c>
      <c r="B36" s="34">
        <f>IF((B18*($B$26-($B$27-0.05*$B$27)-$B$60))&lt;0,0,B18*($B$26-($B$27-0.05*$B$27)-$B$60))</f>
        <v>1202.5318453852735</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7968.4981084203446</v>
      </c>
      <c r="C5" s="18">
        <f>IF(ISERROR('Eigen informatie GS &amp; warmtenet'!B58),0,'Eigen informatie GS &amp; warmtenet'!B58)</f>
        <v>0</v>
      </c>
      <c r="D5" s="31">
        <f>SUM(D6:D12)</f>
        <v>7594.6443409129924</v>
      </c>
      <c r="E5" s="18">
        <f>SUM(E6:E12)</f>
        <v>64.059824384262697</v>
      </c>
      <c r="F5" s="18">
        <f>SUM(F6:F12)</f>
        <v>1427.1196343228892</v>
      </c>
      <c r="G5" s="19"/>
      <c r="H5" s="18"/>
      <c r="I5" s="18"/>
      <c r="J5" s="18">
        <f>SUM(J6:J12)</f>
        <v>0</v>
      </c>
      <c r="K5" s="18"/>
      <c r="L5" s="18"/>
      <c r="M5" s="18"/>
      <c r="N5" s="18">
        <f>SUM(N6:N12)</f>
        <v>487.30236625123604</v>
      </c>
      <c r="O5" s="18">
        <f>B38*B39*B40</f>
        <v>0</v>
      </c>
      <c r="P5" s="18">
        <f>B46*B47*B48/1000-B46*B47*B48/1000/B49</f>
        <v>0</v>
      </c>
      <c r="R5" s="33"/>
    </row>
    <row r="6" spans="1:18">
      <c r="A6" s="33" t="s">
        <v>53</v>
      </c>
      <c r="B6" s="38">
        <f>B26</f>
        <v>3234.1178247540997</v>
      </c>
      <c r="C6" s="34"/>
      <c r="D6" s="38">
        <f>IF(ISERROR(TER_kantoor_gas_kWh/1000),0,TER_kantoor_gas_kWh/1000)*0.902</f>
        <v>1849.633806839046</v>
      </c>
      <c r="E6" s="34">
        <f>$C$26*'E Balans VL '!I12/100/3.6*1000000</f>
        <v>5.3078428279973089</v>
      </c>
      <c r="F6" s="34">
        <f>$C$26*('E Balans VL '!L12+'E Balans VL '!N12)/100/3.6*1000000</f>
        <v>381.22639687837778</v>
      </c>
      <c r="G6" s="35"/>
      <c r="H6" s="34"/>
      <c r="I6" s="34"/>
      <c r="J6" s="34">
        <f>$C$26*('E Balans VL '!D12+'E Balans VL '!E12)/100/3.6*1000000</f>
        <v>0</v>
      </c>
      <c r="K6" s="34"/>
      <c r="L6" s="34"/>
      <c r="M6" s="34"/>
      <c r="N6" s="34">
        <f>$C$26*'E Balans VL '!Y12/100/3.6*1000000</f>
        <v>0.65343819168988271</v>
      </c>
      <c r="O6" s="34"/>
      <c r="P6" s="34"/>
      <c r="R6" s="33"/>
    </row>
    <row r="7" spans="1:18">
      <c r="A7" s="33" t="s">
        <v>52</v>
      </c>
      <c r="B7" s="38">
        <f t="shared" ref="B7:B12" si="0">B27</f>
        <v>581.73694144304602</v>
      </c>
      <c r="C7" s="34"/>
      <c r="D7" s="38">
        <f>IF(ISERROR(TER_horeca_gas_kWh/1000),0,TER_horeca_gas_kWh/1000)*0.902</f>
        <v>344.58197265225209</v>
      </c>
      <c r="E7" s="34">
        <f>$C$27*'E Balans VL '!I9/100/3.6*1000000</f>
        <v>30.187937722305037</v>
      </c>
      <c r="F7" s="34">
        <f>$C$27*('E Balans VL '!L9+'E Balans VL '!N9)/100/3.6*1000000</f>
        <v>132.75279214771987</v>
      </c>
      <c r="G7" s="35"/>
      <c r="H7" s="34"/>
      <c r="I7" s="34"/>
      <c r="J7" s="34">
        <f>$C$27*('E Balans VL '!D9+'E Balans VL '!E9)/100/3.6*1000000</f>
        <v>0</v>
      </c>
      <c r="K7" s="34"/>
      <c r="L7" s="34"/>
      <c r="M7" s="34"/>
      <c r="N7" s="34">
        <f>$C$27*'E Balans VL '!Y9/100/3.6*1000000</f>
        <v>6.1431154423801503E-2</v>
      </c>
      <c r="O7" s="34"/>
      <c r="P7" s="34"/>
      <c r="R7" s="33"/>
    </row>
    <row r="8" spans="1:18">
      <c r="A8" s="6" t="s">
        <v>51</v>
      </c>
      <c r="B8" s="38">
        <f t="shared" si="0"/>
        <v>1954.2249771213101</v>
      </c>
      <c r="C8" s="34"/>
      <c r="D8" s="38">
        <f>IF(ISERROR(TER_handel_gas_kWh/1000),0,TER_handel_gas_kWh/1000)*0.902</f>
        <v>596.62551465401941</v>
      </c>
      <c r="E8" s="34">
        <f>$C$28*'E Balans VL '!I13/100/3.6*1000000</f>
        <v>10.523741644130448</v>
      </c>
      <c r="F8" s="34">
        <f>$C$28*('E Balans VL '!L13+'E Balans VL '!N13)/100/3.6*1000000</f>
        <v>398.52454717078774</v>
      </c>
      <c r="G8" s="35"/>
      <c r="H8" s="34"/>
      <c r="I8" s="34"/>
      <c r="J8" s="34">
        <f>$C$28*('E Balans VL '!D13+'E Balans VL '!E13)/100/3.6*1000000</f>
        <v>0</v>
      </c>
      <c r="K8" s="34"/>
      <c r="L8" s="34"/>
      <c r="M8" s="34"/>
      <c r="N8" s="34">
        <f>$C$28*'E Balans VL '!Y13/100/3.6*1000000</f>
        <v>9.7173288145811618</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660.05383139889307</v>
      </c>
      <c r="C10" s="34"/>
      <c r="D10" s="38">
        <f>IF(ISERROR(TER_ander_gas_kWh/1000),0,TER_ander_gas_kWh/1000)*0.902</f>
        <v>632.70580129720349</v>
      </c>
      <c r="E10" s="34">
        <f>$C$30*'E Balans VL '!I14/100/3.6*1000000</f>
        <v>5.3999000176666714</v>
      </c>
      <c r="F10" s="34">
        <f>$C$30*('E Balans VL '!L14+'E Balans VL '!N14)/100/3.6*1000000</f>
        <v>192.97286839661984</v>
      </c>
      <c r="G10" s="35"/>
      <c r="H10" s="34"/>
      <c r="I10" s="34"/>
      <c r="J10" s="34">
        <f>$C$30*('E Balans VL '!D14+'E Balans VL '!E14)/100/3.6*1000000</f>
        <v>0</v>
      </c>
      <c r="K10" s="34"/>
      <c r="L10" s="34"/>
      <c r="M10" s="34"/>
      <c r="N10" s="34">
        <f>$C$30*'E Balans VL '!Y14/100/3.6*1000000</f>
        <v>380.76445433672507</v>
      </c>
      <c r="O10" s="34"/>
      <c r="P10" s="34"/>
      <c r="R10" s="33"/>
    </row>
    <row r="11" spans="1:18">
      <c r="A11" s="33" t="s">
        <v>54</v>
      </c>
      <c r="B11" s="38">
        <f t="shared" si="0"/>
        <v>81.205495612015795</v>
      </c>
      <c r="C11" s="34"/>
      <c r="D11" s="38">
        <f>IF(ISERROR(TER_onderwijs_gas_kWh/1000),0,TER_onderwijs_gas_kWh/1000)*0.902</f>
        <v>0</v>
      </c>
      <c r="E11" s="34">
        <f>$C$31*'E Balans VL '!I11/100/3.6*1000000</f>
        <v>5.005164109520744E-2</v>
      </c>
      <c r="F11" s="34">
        <f>$C$31*('E Balans VL '!L11+'E Balans VL '!N11)/100/3.6*1000000</f>
        <v>31.395359699753286</v>
      </c>
      <c r="G11" s="35"/>
      <c r="H11" s="34"/>
      <c r="I11" s="34"/>
      <c r="J11" s="34">
        <f>$C$31*('E Balans VL '!D11+'E Balans VL '!E11)/100/3.6*1000000</f>
        <v>0</v>
      </c>
      <c r="K11" s="34"/>
      <c r="L11" s="34"/>
      <c r="M11" s="34"/>
      <c r="N11" s="34">
        <f>$C$31*'E Balans VL '!Y11/100/3.6*1000000</f>
        <v>0.26414407525973482</v>
      </c>
      <c r="O11" s="34"/>
      <c r="P11" s="34"/>
      <c r="R11" s="33"/>
    </row>
    <row r="12" spans="1:18">
      <c r="A12" s="33" t="s">
        <v>255</v>
      </c>
      <c r="B12" s="38">
        <f t="shared" si="0"/>
        <v>1457.1590380909799</v>
      </c>
      <c r="C12" s="34"/>
      <c r="D12" s="38">
        <f>IF(ISERROR(TER_rest_gas_kWh/1000),0,TER_rest_gas_kWh/1000)*0.902</f>
        <v>4171.0972454704715</v>
      </c>
      <c r="E12" s="34">
        <f>$C$32*'E Balans VL '!I8/100/3.6*1000000</f>
        <v>12.590350531068029</v>
      </c>
      <c r="F12" s="34">
        <f>$C$32*('E Balans VL '!L8+'E Balans VL '!N8)/100/3.6*1000000</f>
        <v>290.24767002963063</v>
      </c>
      <c r="G12" s="35"/>
      <c r="H12" s="34"/>
      <c r="I12" s="34"/>
      <c r="J12" s="34">
        <f>$C$32*('E Balans VL '!D8+'E Balans VL '!E8)/100/3.6*1000000</f>
        <v>0</v>
      </c>
      <c r="K12" s="34"/>
      <c r="L12" s="34"/>
      <c r="M12" s="34"/>
      <c r="N12" s="34">
        <f>$C$32*'E Balans VL '!Y8/100/3.6*1000000</f>
        <v>95.841569678556411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7968.4981084203446</v>
      </c>
      <c r="C16" s="22">
        <f t="shared" ca="1" si="1"/>
        <v>0</v>
      </c>
      <c r="D16" s="22">
        <f t="shared" ca="1" si="1"/>
        <v>7594.6443409129924</v>
      </c>
      <c r="E16" s="22">
        <f t="shared" si="1"/>
        <v>64.059824384262697</v>
      </c>
      <c r="F16" s="22">
        <f t="shared" ca="1" si="1"/>
        <v>1427.1196343228892</v>
      </c>
      <c r="G16" s="22">
        <f t="shared" si="1"/>
        <v>0</v>
      </c>
      <c r="H16" s="22">
        <f t="shared" si="1"/>
        <v>0</v>
      </c>
      <c r="I16" s="22">
        <f t="shared" si="1"/>
        <v>0</v>
      </c>
      <c r="J16" s="22">
        <f t="shared" si="1"/>
        <v>0</v>
      </c>
      <c r="K16" s="22">
        <f t="shared" si="1"/>
        <v>0</v>
      </c>
      <c r="L16" s="22">
        <f t="shared" ca="1" si="1"/>
        <v>0</v>
      </c>
      <c r="M16" s="22">
        <f t="shared" si="1"/>
        <v>0</v>
      </c>
      <c r="N16" s="22">
        <f t="shared" ca="1" si="1"/>
        <v>487.30236625123604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0.21410494019488413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1706.0948109463852</v>
      </c>
      <c r="C20" s="24">
        <f t="shared" ref="C20:P20" ca="1" si="2">C16*C18</f>
        <v>0</v>
      </c>
      <c r="D20" s="24">
        <f t="shared" ca="1" si="2"/>
        <v>1534.1181568644245</v>
      </c>
      <c r="E20" s="24">
        <f t="shared" si="2"/>
        <v>14.541580135227633</v>
      </c>
      <c r="F20" s="24">
        <f t="shared" ca="1" si="2"/>
        <v>381.04094236421145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3234.1178247540997</v>
      </c>
      <c r="C26" s="40">
        <f>IF(ISERROR(B26*3.6/1000000/'E Balans VL '!Z12*100),0,B26*3.6/1000000/'E Balans VL '!Z12*100)</f>
        <v>6.872268448973351E-2</v>
      </c>
      <c r="D26" s="236" t="s">
        <v>691</v>
      </c>
      <c r="F26" s="6"/>
    </row>
    <row r="27" spans="1:18">
      <c r="A27" s="231" t="s">
        <v>52</v>
      </c>
      <c r="B27" s="34">
        <f>IF(ISERROR(TER_horeca_ele_kWh/1000),0,TER_horeca_ele_kWh/1000)</f>
        <v>581.73694144304602</v>
      </c>
      <c r="C27" s="40">
        <f>IF(ISERROR(B27*3.6/1000000/'E Balans VL '!Z9*100),0,B27*3.6/1000000/'E Balans VL '!Z9*100)</f>
        <v>4.5787195843827212E-2</v>
      </c>
      <c r="D27" s="236" t="s">
        <v>691</v>
      </c>
      <c r="F27" s="6"/>
    </row>
    <row r="28" spans="1:18">
      <c r="A28" s="171" t="s">
        <v>51</v>
      </c>
      <c r="B28" s="34">
        <f>IF(ISERROR(TER_handel_ele_kWh/1000),0,TER_handel_ele_kWh/1000)</f>
        <v>1954.2249771213101</v>
      </c>
      <c r="C28" s="40">
        <f>IF(ISERROR(B28*3.6/1000000/'E Balans VL '!Z13*100),0,B28*3.6/1000000/'E Balans VL '!Z13*100)</f>
        <v>5.4738887469085402E-2</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660.05383139889307</v>
      </c>
      <c r="C30" s="40">
        <f>IF(ISERROR(B30*3.6/1000000/'E Balans VL '!Z14*100),0,B30*3.6/1000000/'E Balans VL '!Z14*100)</f>
        <v>4.9366464877896858E-2</v>
      </c>
      <c r="D30" s="236" t="s">
        <v>691</v>
      </c>
      <c r="F30" s="6"/>
    </row>
    <row r="31" spans="1:18">
      <c r="A31" s="231" t="s">
        <v>54</v>
      </c>
      <c r="B31" s="34">
        <f>IF(ISERROR(TER_onderwijs_ele_kWh/1000),0,TER_onderwijs_ele_kWh/1000)</f>
        <v>81.205495612015795</v>
      </c>
      <c r="C31" s="40">
        <f>IF(ISERROR(B31*3.6/1000000/'E Balans VL '!Z11*100),0,B31*3.6/1000000/'E Balans VL '!Z11*100)</f>
        <v>1.7146645586480675E-2</v>
      </c>
      <c r="D31" s="236" t="s">
        <v>691</v>
      </c>
    </row>
    <row r="32" spans="1:18">
      <c r="A32" s="231" t="s">
        <v>255</v>
      </c>
      <c r="B32" s="34">
        <f>IF(ISERROR(TER_rest_ele_kWh/1000),0,TER_rest_ele_kWh/1000)</f>
        <v>1457.1590380909799</v>
      </c>
      <c r="C32" s="40">
        <f>IF(ISERROR(B32*3.6/1000000/'E Balans VL '!Z8*100),0,B32*3.6/1000000/'E Balans VL '!Z8*100)</f>
        <v>1.2003977164334904E-2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34966.199025053196</v>
      </c>
      <c r="C5" s="18">
        <f>IF(ISERROR('Eigen informatie GS &amp; warmtenet'!B59),0,'Eigen informatie GS &amp; warmtenet'!B59)</f>
        <v>0</v>
      </c>
      <c r="D5" s="31">
        <f>SUM(D6:D15)</f>
        <v>128267.06919807073</v>
      </c>
      <c r="E5" s="18">
        <f>SUM(E6:E15)</f>
        <v>317.71717768316785</v>
      </c>
      <c r="F5" s="18">
        <f>SUM(F6:F15)</f>
        <v>6558.5159490772548</v>
      </c>
      <c r="G5" s="19"/>
      <c r="H5" s="18"/>
      <c r="I5" s="18"/>
      <c r="J5" s="18">
        <f>SUM(J6:J15)</f>
        <v>135.77381163153689</v>
      </c>
      <c r="K5" s="18"/>
      <c r="L5" s="18"/>
      <c r="M5" s="18"/>
      <c r="N5" s="18">
        <f>SUM(N6:N15)</f>
        <v>964.64193966783137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353.11554672223701</v>
      </c>
      <c r="C8" s="34"/>
      <c r="D8" s="38">
        <f>IF( ISERROR(IND_metaal_Gas_kWH/1000),0,IND_metaal_Gas_kWH/1000)*0.902</f>
        <v>0</v>
      </c>
      <c r="E8" s="34">
        <f>C30*'E Balans VL '!I18/100/3.6*1000000</f>
        <v>3.2157596482153505</v>
      </c>
      <c r="F8" s="34">
        <f>C30*'E Balans VL '!L18/100/3.6*1000000+C30*'E Balans VL '!N18/100/3.6*1000000</f>
        <v>46.573259007143228</v>
      </c>
      <c r="G8" s="35"/>
      <c r="H8" s="34"/>
      <c r="I8" s="34"/>
      <c r="J8" s="41">
        <f>C30*'E Balans VL '!D18/100/3.6*1000000+C30*'E Balans VL '!E18/100/3.6*1000000</f>
        <v>5.7905822609328128</v>
      </c>
      <c r="K8" s="34"/>
      <c r="L8" s="34"/>
      <c r="M8" s="34"/>
      <c r="N8" s="34">
        <f>C30*'E Balans VL '!Y18/100/3.6*1000000</f>
        <v>1.2135178592932252</v>
      </c>
      <c r="O8" s="34"/>
      <c r="P8" s="34"/>
      <c r="R8" s="33"/>
    </row>
    <row r="9" spans="1:18">
      <c r="A9" s="6" t="s">
        <v>32</v>
      </c>
      <c r="B9" s="38">
        <f t="shared" si="0"/>
        <v>675.27876426596106</v>
      </c>
      <c r="C9" s="34"/>
      <c r="D9" s="38">
        <f>IF( ISERROR(IND_andere_gas_kWh/1000),0,IND_andere_gas_kWh/1000)*0.902</f>
        <v>279.95006874496886</v>
      </c>
      <c r="E9" s="34">
        <f>C31*'E Balans VL '!I19/100/3.6*1000000</f>
        <v>3.9032121695218365</v>
      </c>
      <c r="F9" s="34">
        <f>C31*'E Balans VL '!L19/100/3.6*1000000+C31*'E Balans VL '!N19/100/3.6*1000000</f>
        <v>537.21675010190813</v>
      </c>
      <c r="G9" s="35"/>
      <c r="H9" s="34"/>
      <c r="I9" s="34"/>
      <c r="J9" s="41">
        <f>C31*'E Balans VL '!D19/100/3.6*1000000+C31*'E Balans VL '!E19/100/3.6*1000000</f>
        <v>6.3873870315497142E-2</v>
      </c>
      <c r="K9" s="34"/>
      <c r="L9" s="34"/>
      <c r="M9" s="34"/>
      <c r="N9" s="34">
        <f>C31*'E Balans VL '!Y19/100/3.6*1000000</f>
        <v>51.162585594165918</v>
      </c>
      <c r="O9" s="34"/>
      <c r="P9" s="34"/>
      <c r="R9" s="33"/>
    </row>
    <row r="10" spans="1:18">
      <c r="A10" s="6" t="s">
        <v>40</v>
      </c>
      <c r="B10" s="38">
        <f t="shared" si="0"/>
        <v>7953.60311383097</v>
      </c>
      <c r="C10" s="34"/>
      <c r="D10" s="38">
        <f>IF( ISERROR(IND_voed_gas_kWh/1000),0,IND_voed_gas_kWh/1000)*0.902</f>
        <v>210.35760856544681</v>
      </c>
      <c r="E10" s="34">
        <f>C32*'E Balans VL '!I20/100/3.6*1000000</f>
        <v>78.204726438201348</v>
      </c>
      <c r="F10" s="34">
        <f>C32*'E Balans VL '!L20/100/3.6*1000000+C32*'E Balans VL '!N20/100/3.6*1000000</f>
        <v>883.35144134400571</v>
      </c>
      <c r="G10" s="35"/>
      <c r="H10" s="34"/>
      <c r="I10" s="34"/>
      <c r="J10" s="41">
        <f>C32*'E Balans VL '!D20/100/3.6*1000000+C32*'E Balans VL '!E20/100/3.6*1000000</f>
        <v>3.1348760590156274E-2</v>
      </c>
      <c r="K10" s="34"/>
      <c r="L10" s="34"/>
      <c r="M10" s="34"/>
      <c r="N10" s="34">
        <f>C32*'E Balans VL '!Y20/100/3.6*1000000</f>
        <v>117.77415326925593</v>
      </c>
      <c r="O10" s="34"/>
      <c r="P10" s="34"/>
      <c r="R10" s="33"/>
    </row>
    <row r="11" spans="1:18">
      <c r="A11" s="6" t="s">
        <v>39</v>
      </c>
      <c r="B11" s="38">
        <f t="shared" si="0"/>
        <v>155.22228165982801</v>
      </c>
      <c r="C11" s="34"/>
      <c r="D11" s="38">
        <f>IF( ISERROR(IND_textiel_gas_kWh/1000),0,IND_textiel_gas_kWh/1000)*0.902</f>
        <v>0</v>
      </c>
      <c r="E11" s="34">
        <f>C33*'E Balans VL '!I21/100/3.6*1000000</f>
        <v>0.30225382606814377</v>
      </c>
      <c r="F11" s="34">
        <f>C33*'E Balans VL '!L21/100/3.6*1000000+C33*'E Balans VL '!N21/100/3.6*1000000</f>
        <v>5.1197402116144506</v>
      </c>
      <c r="G11" s="35"/>
      <c r="H11" s="34"/>
      <c r="I11" s="34"/>
      <c r="J11" s="41">
        <f>C33*'E Balans VL '!D21/100/3.6*1000000+C33*'E Balans VL '!E21/100/3.6*1000000</f>
        <v>0</v>
      </c>
      <c r="K11" s="34"/>
      <c r="L11" s="34"/>
      <c r="M11" s="34"/>
      <c r="N11" s="34">
        <f>C33*'E Balans VL '!Y21/100/3.6*1000000</f>
        <v>1.6100633229331203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25828.979318574202</v>
      </c>
      <c r="C15" s="34"/>
      <c r="D15" s="38">
        <f>IF( ISERROR(IND_rest_gas_kWh/1000),0,IND_rest_gas_kWh/1000)*0.902</f>
        <v>127776.76152076032</v>
      </c>
      <c r="E15" s="34">
        <f>C37*'E Balans VL '!I15/100/3.6*1000000</f>
        <v>232.09122560116117</v>
      </c>
      <c r="F15" s="34">
        <f>C37*'E Balans VL '!L15/100/3.6*1000000+C37*'E Balans VL '!N15/100/3.6*1000000</f>
        <v>5086.2547584125832</v>
      </c>
      <c r="G15" s="35"/>
      <c r="H15" s="34"/>
      <c r="I15" s="34"/>
      <c r="J15" s="41">
        <f>C37*'E Balans VL '!D15/100/3.6*1000000+C37*'E Balans VL '!E15/100/3.6*1000000</f>
        <v>129.88800673969843</v>
      </c>
      <c r="K15" s="34"/>
      <c r="L15" s="34"/>
      <c r="M15" s="34"/>
      <c r="N15" s="34">
        <f>C37*'E Balans VL '!Y15/100/3.6*1000000</f>
        <v>792.88161962218317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34966.199025053196</v>
      </c>
      <c r="C18" s="22">
        <f>C5+C16</f>
        <v>0</v>
      </c>
      <c r="D18" s="22">
        <f>MAX((D5+D16),0)</f>
        <v>128267.06919807073</v>
      </c>
      <c r="E18" s="22">
        <f>MAX((E5+E16),0)</f>
        <v>317.71717768316785</v>
      </c>
      <c r="F18" s="22">
        <f>MAX((F5+F16),0)</f>
        <v>6558.5159490772548</v>
      </c>
      <c r="G18" s="22"/>
      <c r="H18" s="22"/>
      <c r="I18" s="22"/>
      <c r="J18" s="22">
        <f>MAX((J5+J16),0)</f>
        <v>135.77381163153689</v>
      </c>
      <c r="K18" s="22"/>
      <c r="L18" s="22">
        <f>MAX((L5+L16),0)</f>
        <v>0</v>
      </c>
      <c r="M18" s="22"/>
      <c r="N18" s="22">
        <f>MAX((N5+N16),0)</f>
        <v>964.64193966783137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0.21410494019488413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7486.43595110143</v>
      </c>
      <c r="C22" s="24">
        <f ca="1">C18*C20</f>
        <v>0</v>
      </c>
      <c r="D22" s="24">
        <f>D18*D20</f>
        <v>25909.947978010288</v>
      </c>
      <c r="E22" s="24">
        <f>E18*E20</f>
        <v>72.1217993340791</v>
      </c>
      <c r="F22" s="24">
        <f>F18*F20</f>
        <v>1751.1237584036271</v>
      </c>
      <c r="G22" s="24"/>
      <c r="H22" s="24"/>
      <c r="I22" s="24"/>
      <c r="J22" s="24">
        <f>J18*J20</f>
        <v>48.063929317564053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353.11554672223701</v>
      </c>
      <c r="C30" s="40">
        <f>IF(ISERROR(B30*3.6/1000000/'E Balans VL '!Z18*100),0,B30*3.6/1000000/'E Balans VL '!Z18*100)</f>
        <v>1.9648518911690584E-2</v>
      </c>
      <c r="D30" s="236" t="s">
        <v>691</v>
      </c>
    </row>
    <row r="31" spans="1:18">
      <c r="A31" s="6" t="s">
        <v>32</v>
      </c>
      <c r="B31" s="38">
        <f>IF( ISERROR(IND_ander_ele_kWh/1000),0,IND_ander_ele_kWh/1000)</f>
        <v>675.27876426596106</v>
      </c>
      <c r="C31" s="40">
        <f>IF(ISERROR(B31*3.6/1000000/'E Balans VL '!Z19*100),0,B31*3.6/1000000/'E Balans VL '!Z19*100)</f>
        <v>3.1391936264271635E-2</v>
      </c>
      <c r="D31" s="236" t="s">
        <v>691</v>
      </c>
    </row>
    <row r="32" spans="1:18">
      <c r="A32" s="171" t="s">
        <v>40</v>
      </c>
      <c r="B32" s="38">
        <f>IF( ISERROR(IND_voed_ele_kWh/1000),0,IND_voed_ele_kWh/1000)</f>
        <v>7953.60311383097</v>
      </c>
      <c r="C32" s="40">
        <f>IF(ISERROR(B32*3.6/1000000/'E Balans VL '!Z20*100),0,B32*3.6/1000000/'E Balans VL '!Z20*100)</f>
        <v>0.28114380709216208</v>
      </c>
      <c r="D32" s="236" t="s">
        <v>691</v>
      </c>
    </row>
    <row r="33" spans="1:5">
      <c r="A33" s="171" t="s">
        <v>39</v>
      </c>
      <c r="B33" s="38">
        <f>IF( ISERROR(IND_textiel_ele_kWh/1000),0,IND_textiel_ele_kWh/1000)</f>
        <v>155.22228165982801</v>
      </c>
      <c r="C33" s="40">
        <f>IF(ISERROR(B33*3.6/1000000/'E Balans VL '!Z21*100),0,B33*3.6/1000000/'E Balans VL '!Z21*100)</f>
        <v>2.096512447122376E-2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25828.979318574202</v>
      </c>
      <c r="C37" s="40">
        <f>IF(ISERROR(B37*3.6/1000000/'E Balans VL '!Z15*100),0,B37*3.6/1000000/'E Balans VL '!Z15*100)</f>
        <v>0.19504694902732186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1280.0342451038871</v>
      </c>
      <c r="C5" s="18">
        <f>'Eigen informatie GS &amp; warmtenet'!B60</f>
        <v>0</v>
      </c>
      <c r="D5" s="31">
        <f>IF(ISERROR(SUM(LB_lb_gas_kWh,LB_rest_gas_kWh)/1000),0,SUM(LB_lb_gas_kWh,LB_rest_gas_kWh)/1000)*0.902</f>
        <v>25724.059831324023</v>
      </c>
      <c r="E5" s="18">
        <f>B17*'E Balans VL '!I25/3.6*1000000/100</f>
        <v>12.058780239956445</v>
      </c>
      <c r="F5" s="18">
        <f>B17*('E Balans VL '!L25/3.6*1000000+'E Balans VL '!N25/3.6*1000000)/100</f>
        <v>4177.1765478320795</v>
      </c>
      <c r="G5" s="19"/>
      <c r="H5" s="18"/>
      <c r="I5" s="18"/>
      <c r="J5" s="18">
        <f>('E Balans VL '!D25+'E Balans VL '!E25)/3.6*1000000*landbouw!B17/100</f>
        <v>158.34646220472303</v>
      </c>
      <c r="K5" s="18"/>
      <c r="L5" s="18">
        <f>L6*(-1)</f>
        <v>0</v>
      </c>
      <c r="M5" s="18"/>
      <c r="N5" s="18">
        <f>N6*(-1)</f>
        <v>0</v>
      </c>
      <c r="O5" s="18"/>
      <c r="P5" s="18"/>
      <c r="R5" s="33"/>
    </row>
    <row r="6" spans="1:18">
      <c r="A6" s="17" t="s">
        <v>495</v>
      </c>
      <c r="B6" s="18" t="s">
        <v>210</v>
      </c>
      <c r="C6" s="18">
        <f>'lokale energieproductie'!O39+'lokale energieproductie'!O32</f>
        <v>12857.142857142857</v>
      </c>
      <c r="D6" s="305">
        <f>('lokale energieproductie'!P32+'lokale energieproductie'!P39)*(-1)</f>
        <v>-25714.285714285717</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1280.0342451038871</v>
      </c>
      <c r="C8" s="22">
        <f>C5+C6</f>
        <v>12857.142857142857</v>
      </c>
      <c r="D8" s="22">
        <f>MAX((D5+D6),0)</f>
        <v>9.7741170383051212</v>
      </c>
      <c r="E8" s="22">
        <f>MAX((E5+E6),0)</f>
        <v>12.058780239956445</v>
      </c>
      <c r="F8" s="22">
        <f>MAX((F5+F6),0)</f>
        <v>4177.1765478320795</v>
      </c>
      <c r="G8" s="22"/>
      <c r="H8" s="22"/>
      <c r="I8" s="22"/>
      <c r="J8" s="22">
        <f>MAX((J5+J6),0)</f>
        <v>158.34646220472303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0.21410494019488413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274.06165549537138</v>
      </c>
      <c r="C12" s="24">
        <f ca="1">C8*C10</f>
        <v>3055.4621848739503</v>
      </c>
      <c r="D12" s="24">
        <f>D8*D10</f>
        <v>1.9743716417376347</v>
      </c>
      <c r="E12" s="24">
        <f>E8*E10</f>
        <v>2.737343114470113</v>
      </c>
      <c r="F12" s="24">
        <f>F8*F10</f>
        <v>1115.3061382711653</v>
      </c>
      <c r="G12" s="24"/>
      <c r="H12" s="24"/>
      <c r="I12" s="24"/>
      <c r="J12" s="24">
        <f>J8*J10</f>
        <v>56.054647620471947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0.1732961824936913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197.09990999709674</v>
      </c>
      <c r="C26" s="246">
        <f>B26*'GWP N2O_CH4'!B5</f>
        <v>4139.0981099390319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117.4451855809551</v>
      </c>
      <c r="C27" s="246">
        <f>B27*'GWP N2O_CH4'!B5</f>
        <v>2466.3488972000569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3.424387328465925</v>
      </c>
      <c r="C28" s="246">
        <f>B28*'GWP N2O_CH4'!B4</f>
        <v>1061.5600718244368</v>
      </c>
      <c r="D28" s="51"/>
    </row>
    <row r="29" spans="1:4">
      <c r="A29" s="42" t="s">
        <v>272</v>
      </c>
      <c r="B29" s="246">
        <f>B34*'ha_N2O bodem landbouw'!B4</f>
        <v>5.3995421922035174</v>
      </c>
      <c r="C29" s="246">
        <f>B29*'GWP N2O_CH4'!B4</f>
        <v>1673.8580795830903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1.4577064128659342E-3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3.8455759832197033E-6</v>
      </c>
      <c r="C5" s="435" t="s">
        <v>210</v>
      </c>
      <c r="D5" s="420">
        <f>SUM(D6:D11)</f>
        <v>4.835795876002853E-6</v>
      </c>
      <c r="E5" s="420">
        <f>SUM(E6:E11)</f>
        <v>3.0727710498309373E-4</v>
      </c>
      <c r="F5" s="433" t="s">
        <v>210</v>
      </c>
      <c r="G5" s="420">
        <f>SUM(G6:G11)</f>
        <v>0.10438922208220236</v>
      </c>
      <c r="H5" s="420">
        <f>SUM(H6:H11)</f>
        <v>1.1581989709264811E-2</v>
      </c>
      <c r="I5" s="435" t="s">
        <v>210</v>
      </c>
      <c r="J5" s="435" t="s">
        <v>210</v>
      </c>
      <c r="K5" s="435" t="s">
        <v>210</v>
      </c>
      <c r="L5" s="435" t="s">
        <v>210</v>
      </c>
      <c r="M5" s="420">
        <f>SUM(M6:M11)</f>
        <v>5.1753798244344798E-3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2.5255189551097217E-6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2.9414251352858043E-6</v>
      </c>
      <c r="E6" s="423">
        <f>vkm_GW_PW*SUMIFS(TableVerdeelsleutelVkm[LPG],TableVerdeelsleutelVkm[Voertuigtype],"Lichte voertuigen")*SUMIFS(TableECFTransport[EnergieConsumptieFactor (PJ per km)],TableECFTransport[Index],CONCATENATE($A6,"_LPG_LPG"))</f>
        <v>1.9083210417854228E-4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2.977339608017552E-2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7.1753837446786621E-3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1.6534603034389478E-3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2.4087789177742579E-7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3.9846519197845584E-2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1.0692241006170078E-6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1.7730401176274183E-3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9.9589872824593571E-7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1.8943707407170487E-6</v>
      </c>
      <c r="E8" s="423">
        <f>vkm_NGW_PW*SUMIFS(TableVerdeelsleutelVkm[LPG],TableVerdeelsleutelVkm[Voertuigtype],"Lichte voertuigen")*SUMIFS(TableECFTransport[EnergieConsumptieFactor (PJ per km)],TableECFTransport[Index],CONCATENATE($A8,"_LPG_LPG"))</f>
        <v>1.1644500080455143E-4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1.7103181056348265E-2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4.4050905389210341E-3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9.6279571315207972E-4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8.3280408086619574E-8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1.7666125747832984E-2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4.4620156449816408E-7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7.8608369021603334E-4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1.068215550894362</v>
      </c>
      <c r="C14" s="22"/>
      <c r="D14" s="22">
        <f t="shared" ref="D14:M14" si="0">((D5)*10^9/3600)+D12</f>
        <v>1.3432766322230147</v>
      </c>
      <c r="E14" s="22">
        <f t="shared" si="0"/>
        <v>85.35475138419271</v>
      </c>
      <c r="F14" s="22"/>
      <c r="G14" s="22">
        <f t="shared" si="0"/>
        <v>28997.006133945099</v>
      </c>
      <c r="H14" s="22">
        <f t="shared" si="0"/>
        <v>3217.2193636846696</v>
      </c>
      <c r="I14" s="22"/>
      <c r="J14" s="22"/>
      <c r="K14" s="22"/>
      <c r="L14" s="22"/>
      <c r="M14" s="22">
        <f t="shared" si="0"/>
        <v>1437.6055067873556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0.21410494019488413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0.22871022663948259</v>
      </c>
      <c r="C18" s="24"/>
      <c r="D18" s="24">
        <f t="shared" ref="D18:M18" si="1">D14*D16</f>
        <v>0.27134187970904899</v>
      </c>
      <c r="E18" s="24">
        <f t="shared" si="1"/>
        <v>19.375528564211745</v>
      </c>
      <c r="F18" s="24"/>
      <c r="G18" s="24">
        <f t="shared" si="1"/>
        <v>7742.2006377633415</v>
      </c>
      <c r="H18" s="24">
        <f t="shared" si="1"/>
        <v>801.08762155748275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3.1579164552704525E-6</v>
      </c>
      <c r="C50" s="316">
        <f t="shared" ref="C50:P50" si="2">SUM(C51:C52)</f>
        <v>0</v>
      </c>
      <c r="D50" s="316">
        <f t="shared" si="2"/>
        <v>0</v>
      </c>
      <c r="E50" s="316">
        <f t="shared" si="2"/>
        <v>0</v>
      </c>
      <c r="F50" s="316">
        <f t="shared" si="2"/>
        <v>0</v>
      </c>
      <c r="G50" s="316">
        <f t="shared" si="2"/>
        <v>6.2985266304234659E-4</v>
      </c>
      <c r="H50" s="316">
        <f t="shared" si="2"/>
        <v>0</v>
      </c>
      <c r="I50" s="316">
        <f t="shared" si="2"/>
        <v>0</v>
      </c>
      <c r="J50" s="316">
        <f t="shared" si="2"/>
        <v>0</v>
      </c>
      <c r="K50" s="316">
        <f t="shared" si="2"/>
        <v>0</v>
      </c>
      <c r="L50" s="316">
        <f t="shared" si="2"/>
        <v>0</v>
      </c>
      <c r="M50" s="316">
        <f t="shared" si="2"/>
        <v>2.783881687572944E-5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3.1579164552704525E-6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6.2985266304234659E-4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2.783881687572944E-5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0.87719901535290346</v>
      </c>
      <c r="C54" s="22">
        <f t="shared" ref="C54:P54" si="3">(C50)*10^9/3600</f>
        <v>0</v>
      </c>
      <c r="D54" s="22">
        <f t="shared" si="3"/>
        <v>0</v>
      </c>
      <c r="E54" s="22">
        <f t="shared" si="3"/>
        <v>0</v>
      </c>
      <c r="F54" s="22">
        <f t="shared" si="3"/>
        <v>0</v>
      </c>
      <c r="G54" s="22">
        <f t="shared" si="3"/>
        <v>174.95907306731851</v>
      </c>
      <c r="H54" s="22">
        <f t="shared" si="3"/>
        <v>0</v>
      </c>
      <c r="I54" s="22">
        <f t="shared" si="3"/>
        <v>0</v>
      </c>
      <c r="J54" s="22">
        <f t="shared" si="3"/>
        <v>0</v>
      </c>
      <c r="K54" s="22">
        <f t="shared" si="3"/>
        <v>0</v>
      </c>
      <c r="L54" s="22">
        <f t="shared" si="3"/>
        <v>0</v>
      </c>
      <c r="M54" s="22">
        <f t="shared" si="3"/>
        <v>7.7330046877026222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0.21410494019488413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0.18781264272114465</v>
      </c>
      <c r="C58" s="24">
        <f t="shared" ref="C58:P58" ca="1" si="4">C54*C56</f>
        <v>0</v>
      </c>
      <c r="D58" s="24">
        <f t="shared" si="4"/>
        <v>0</v>
      </c>
      <c r="E58" s="24">
        <f t="shared" si="4"/>
        <v>0</v>
      </c>
      <c r="F58" s="24">
        <f t="shared" si="4"/>
        <v>0</v>
      </c>
      <c r="G58" s="24">
        <f t="shared" si="4"/>
        <v>46.714072508974049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2543.5272144081991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9000</v>
      </c>
      <c r="C8" s="546">
        <f>B48</f>
        <v>10588.235294117649</v>
      </c>
      <c r="D8" s="969"/>
      <c r="E8" s="969">
        <f>E48</f>
        <v>0</v>
      </c>
      <c r="F8" s="970"/>
      <c r="G8" s="547"/>
      <c r="H8" s="969">
        <f>I48</f>
        <v>0</v>
      </c>
      <c r="I8" s="969">
        <f>G48+F48</f>
        <v>0</v>
      </c>
      <c r="J8" s="969">
        <f>H48+D48+C48</f>
        <v>0</v>
      </c>
      <c r="K8" s="969"/>
      <c r="L8" s="969"/>
      <c r="M8" s="969"/>
      <c r="N8" s="548"/>
      <c r="O8" s="549">
        <f>C8*$C$12+D8*$D$12+E8*$E$12+F8*$F$12+G8*$G$12+H8*$H$12+I8*$I$12+J8*$J$12</f>
        <v>2138.8235294117653</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11543.527214408199</v>
      </c>
      <c r="C10" s="558">
        <f t="shared" ref="C10:L10" si="0">SUM(C8:C9)</f>
        <v>10588.235294117649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2138.8235294117653</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12857.142857142857</v>
      </c>
      <c r="C17" s="570">
        <f>B49</f>
        <v>15126.050420168069</v>
      </c>
      <c r="D17" s="571"/>
      <c r="E17" s="571">
        <f>E49</f>
        <v>0</v>
      </c>
      <c r="F17" s="572"/>
      <c r="G17" s="573"/>
      <c r="H17" s="570">
        <f>I49</f>
        <v>0</v>
      </c>
      <c r="I17" s="571">
        <f>G49+F49</f>
        <v>0</v>
      </c>
      <c r="J17" s="571">
        <f>H49+D49+C49</f>
        <v>0</v>
      </c>
      <c r="K17" s="571"/>
      <c r="L17" s="571"/>
      <c r="M17" s="571"/>
      <c r="N17" s="976"/>
      <c r="O17" s="574">
        <f>C17*$C$22+E17*$E$22+H17*$H$22+I17*$I$22+J17*$J$22+D17*$D$22+F17*$F$22+G17*$G$22+K17*$K$22+L17*$L$22</f>
        <v>3055.4621848739503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12857.142857142857</v>
      </c>
      <c r="C20" s="557">
        <f>SUM(C17:C19)</f>
        <v>15126.050420168069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3055.4621848739503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37010</v>
      </c>
      <c r="C28" s="777">
        <v>8780</v>
      </c>
      <c r="D28" s="630" t="s">
        <v>965</v>
      </c>
      <c r="E28" s="629" t="s">
        <v>966</v>
      </c>
      <c r="F28" s="629" t="s">
        <v>967</v>
      </c>
      <c r="G28" s="629" t="s">
        <v>968</v>
      </c>
      <c r="H28" s="629" t="s">
        <v>969</v>
      </c>
      <c r="I28" s="629" t="s">
        <v>966</v>
      </c>
      <c r="J28" s="776">
        <v>39853</v>
      </c>
      <c r="K28" s="776">
        <v>39875</v>
      </c>
      <c r="L28" s="629" t="s">
        <v>970</v>
      </c>
      <c r="M28" s="629">
        <v>2000</v>
      </c>
      <c r="N28" s="629">
        <v>9000</v>
      </c>
      <c r="O28" s="629">
        <v>12857.142857142857</v>
      </c>
      <c r="P28" s="629">
        <v>25714.285714285717</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2000</v>
      </c>
      <c r="N29" s="587">
        <f>SUM(N28:N28)</f>
        <v>9000</v>
      </c>
      <c r="O29" s="587">
        <f>SUM(O28:O28)</f>
        <v>12857.142857142857</v>
      </c>
      <c r="P29" s="587">
        <f>SUM(P28:P28)</f>
        <v>25714.285714285717</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2000</v>
      </c>
      <c r="N32" s="592">
        <f>SUMIF($Z$28:$Z$28,"landbouw",N28:N28)</f>
        <v>9000</v>
      </c>
      <c r="O32" s="592">
        <f>SUMIF($Z$28:$Z$28,"landbouw",O28:O28)</f>
        <v>12857.142857142857</v>
      </c>
      <c r="P32" s="592">
        <f>SUMIF($Z$28:$Z$28,"landbouw",P28:P28)</f>
        <v>25714.285714285717</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10588.235294117649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15126.050420168069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2021-06-29T16:44:40Z</dcterms:modified>
</cp:coreProperties>
</file>