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D20" i="18" s="1"/>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B46" i="18" s="1"/>
  <c r="N30" i="18"/>
  <c r="M30" i="18"/>
  <c r="G22" i="18"/>
  <c r="F22" i="18"/>
  <c r="E22" i="18"/>
  <c r="D22" i="18"/>
  <c r="C22" i="18"/>
  <c r="L20" i="18"/>
  <c r="G12" i="18"/>
  <c r="F12" i="18"/>
  <c r="E12" i="18"/>
  <c r="D12" i="18"/>
  <c r="C12" i="18"/>
  <c r="L10" i="18"/>
  <c r="K10" i="18"/>
  <c r="G10" i="18"/>
  <c r="D10" i="18"/>
  <c r="B8" i="18"/>
  <c r="B6" i="18"/>
  <c r="B5" i="18"/>
  <c r="B4" i="18"/>
  <c r="I9" i="18" l="1"/>
  <c r="J9" i="18"/>
  <c r="O9" i="18" s="1"/>
  <c r="F20" i="18"/>
  <c r="B17" i="18"/>
  <c r="C46" i="18"/>
  <c r="B49" i="18" s="1"/>
  <c r="C8" i="18" s="1"/>
  <c r="G20" i="18"/>
  <c r="K20" i="18"/>
  <c r="B10" i="18"/>
  <c r="O19" i="18"/>
  <c r="O18" i="18"/>
  <c r="B20" i="18"/>
  <c r="I50" i="18"/>
  <c r="H17" i="18" s="1"/>
  <c r="H20" i="18" s="1"/>
  <c r="E50" i="18"/>
  <c r="E17" i="18" s="1"/>
  <c r="E20" i="18" s="1"/>
  <c r="G50" i="18"/>
  <c r="C50" i="18"/>
  <c r="H50" i="18"/>
  <c r="D50" i="18"/>
  <c r="F50" i="18"/>
  <c r="B50" i="18"/>
  <c r="C17" i="18" s="1"/>
  <c r="I49" i="18"/>
  <c r="H8" i="18" s="1"/>
  <c r="H10" i="18" s="1"/>
  <c r="E49" i="18"/>
  <c r="E8" i="18" s="1"/>
  <c r="E10" i="18" s="1"/>
  <c r="C49" i="18"/>
  <c r="H49" i="18"/>
  <c r="N6" i="17"/>
  <c r="L6" i="17"/>
  <c r="F6" i="17"/>
  <c r="D6" i="17"/>
  <c r="C6" i="17"/>
  <c r="N16" i="16"/>
  <c r="L16" i="16"/>
  <c r="F16" i="16"/>
  <c r="D16" i="16"/>
  <c r="C16" i="16"/>
  <c r="B16" i="16"/>
  <c r="B13" i="15"/>
  <c r="F49" i="18" l="1"/>
  <c r="D49" i="18"/>
  <c r="G49"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56" l="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15"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K63" i="14" l="1"/>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<sst xmlns="http://schemas.openxmlformats.org/spreadsheetml/2006/main" count="2583" uniqueCount="974">
  <si>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</si>
  <si>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</si>
  <si>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</si>
  <si>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</si>
  <si>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</si>
  <si>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</si>
  <si>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</si>
  <si>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</si>
  <si>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</si>
  <si>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</si>
  <si>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</si>
  <si>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</si>
  <si>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</si>
  <si>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</si>
  <si>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</si>
  <si>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</si>
  <si>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</si>
  <si>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</si>
  <si>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</si>
  <si>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</si>
  <si>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</si>
  <si>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</si>
  <si>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</si>
  <si>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</si>
  <si>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</si>
  <si>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</si>
  <si>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</si>
  <si>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</si>
  <si>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</si>
  <si>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</si>
  <si>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</si>
  <si>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</si>
  <si>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</si>
  <si>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</si>
  <si>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</si>
  <si>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</si>
  <si>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</si>
  <si>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</si>
  <si>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</si>
  <si>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</si>
  <si>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</si>
  <si>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</si>
  <si>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</si>
  <si>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</si>
  <si>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</si>
  <si>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</si>
  <si>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</si>
  <si>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</si>
  <si>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</si>
  <si>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</si>
  <si>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</si>
  <si>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</si>
  <si>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</si>
  <si>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</si>
  <si>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</si>
  <si>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</si>
  <si>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</si>
  <si>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</si>
  <si>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</si>
  <si>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</si>
  <si>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</si>
  <si>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</si>
  <si>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</si>
  <si>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</si>
  <si>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</si>
  <si>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</si>
  <si>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</si>
  <si>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</si>
  <si>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</si>
  <si>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</si>
  <si>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</si>
  <si>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</si>
  <si>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</si>
  <si>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</si>
  <si>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</si>
  <si>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</si>
  <si>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</si>
  <si>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</si>
  <si>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</si>
  <si>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</si>
  <si>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</si>
  <si>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</si>
  <si>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</si>
  <si>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</si>
  <si>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</si>
  <si>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</si>
  <si>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</si>
  <si>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</si>
  <si>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</si>
  <si>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</si>
  <si>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</si>
  <si>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</si>
  <si>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</si>
  <si>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</si>
  <si>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</si>
  <si>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</si>
  <si>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</si>
  <si>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</si>
  <si>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</si>
  <si>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</si>
  <si>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</si>
  <si>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</si>
  <si>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</si>
  <si>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</si>
  <si>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</si>
  <si>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</si>
  <si>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</si>
  <si>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</si>
  <si>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</si>
  <si>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</si>
  <si>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</si>
  <si>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</si>
  <si>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</si>
  <si>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</si>
  <si>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</si>
  <si>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</si>
  <si>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</si>
  <si>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</si>
  <si>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</si>
  <si>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</si>
  <si>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</si>
  <si>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</si>
  <si>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</si>
  <si>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</si>
  <si>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</si>
  <si>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</si>
  <si>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</si>
  <si>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</si>
  <si>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</si>
  <si>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</si>
  <si>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</si>
  <si>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</si>
  <si>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</si>
  <si>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</si>
  <si>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</si>
  <si>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</si>
  <si>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</si>
  <si>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</si>
  <si>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</si>
  <si>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</si>
  <si>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</si>
  <si>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</si>
  <si>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</si>
  <si>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</si>
  <si>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</si>
  <si>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</si>
  <si>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</si>
  <si>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</si>
  <si>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</si>
  <si>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</si>
  <si>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</si>
  <si>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</si>
  <si>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</si>
  <si>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</si>
  <si>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</si>
  <si>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</si>
  <si>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</si>
  <si>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</si>
  <si>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</si>
  <si>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</si>
  <si>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</si>
  <si>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</si>
  <si>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</si>
  <si>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</si>
  <si>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</si>
  <si>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</si>
  <si>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</si>
  <si>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</si>
  <si>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</si>
  <si>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</si>
  <si>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</si>
  <si>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</si>
  <si>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</si>
  <si>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</si>
  <si>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</si>
  <si>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</si>
  <si>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</si>
  <si>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</si>
  <si>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</si>
  <si>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</si>
  <si>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</si>
  <si>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</si>
  <si>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</si>
  <si>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</si>
  <si>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</si>
  <si>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</si>
  <si>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</si>
  <si>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</si>
  <si>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</si>
  <si>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</si>
  <si>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</si>
  <si>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</si>
  <si>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</si>
  <si>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</si>
  <si>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</si>
  <si>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</si>
  <si>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</si>
  <si>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</si>
  <si>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</si>
  <si>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</si>
  <si>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</si>
  <si>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</si>
  <si>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</si>
  <si>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</si>
  <si>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</si>
  <si>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</si>
  <si>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</si>
  <si>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</si>
  <si>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</si>
  <si>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</si>
  <si>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</si>
  <si>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</si>
  <si>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</si>
  <si>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</si>
  <si>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</si>
  <si>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</si>
  <si>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</si>
  <si>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</si>
  <si>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</si>
  <si>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</si>
  <si>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</si>
  <si>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</si>
  <si>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</si>
  <si>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</si>
  <si>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</si>
  <si>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</si>
  <si>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</si>
  <si>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</si>
  <si>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</si>
  <si>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</si>
  <si>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</si>
  <si>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</si>
  <si>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</si>
  <si>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</si>
  <si>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</si>
  <si>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</si>
  <si>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</si>
  <si>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</si>
  <si>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</si>
  <si>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</si>
  <si>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</si>
  <si>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</si>
  <si>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</si>
  <si>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</si>
  <si>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</si>
  <si>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</si>
  <si>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</si>
  <si>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</si>
  <si>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</si>
  <si>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</si>
  <si>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</si>
  <si>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</si>
  <si>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</si>
  <si>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</si>
  <si>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</si>
  <si>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</si>
  <si>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</si>
  <si>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</si>
  <si>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</si>
  <si>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</si>
  <si>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</si>
  <si>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</si>
  <si>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</si>
  <si>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</si>
  <si>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</si>
  <si>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</si>
  <si>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</si>
  <si>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</si>
  <si>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</si>
  <si>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</si>
  <si>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</si>
  <si>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</si>
  <si>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</si>
  <si>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</si>
  <si>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</si>
  <si>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</si>
  <si>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</si>
  <si>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</si>
  <si>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</si>
  <si>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</si>
  <si>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</si>
  <si>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</si>
  <si>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</si>
  <si>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</si>
  <si>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</si>
  <si>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</si>
  <si>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</si>
  <si>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</si>
  <si>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</si>
  <si>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</si>
  <si>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</si>
  <si>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</si>
  <si>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</si>
  <si>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</si>
  <si>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</si>
  <si>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</si>
  <si>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</si>
  <si>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</si>
  <si>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</si>
  <si>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</si>
  <si>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</si>
  <si>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</si>
  <si>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</si>
  <si>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</si>
  <si>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</si>
  <si>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</si>
  <si>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</si>
  <si>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</si>
  <si>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</si>
  <si>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</si>
  <si>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</si>
  <si>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</si>
  <si>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</si>
  <si>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</si>
  <si>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</si>
  <si>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</si>
  <si>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</si>
  <si>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</si>
  <si>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</si>
  <si>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</si>
  <si>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</si>
  <si>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</si>
  <si>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</si>
  <si>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</si>
  <si>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</si>
  <si>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</si>
  <si>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</si>
  <si>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</si>
  <si>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</si>
  <si>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</si>
  <si>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</si>
  <si>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</si>
  <si>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</si>
  <si>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</si>
  <si>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</si>
  <si>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</si>
  <si>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</si>
  <si>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</si>
  <si>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</si>
  <si>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</si>
  <si>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</si>
  <si>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</si>
  <si>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</si>
  <si>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</si>
  <si>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</si>
  <si>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</si>
  <si>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</si>
  <si>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</si>
  <si>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</si>
  <si>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</si>
  <si>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</si>
  <si>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</si>
  <si>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</si>
  <si>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</si>
  <si>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</si>
  <si>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</si>
  <si>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</si>
  <si>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</si>
  <si>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</si>
  <si>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</si>
  <si>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</si>
  <si>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</si>
  <si>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</si>
  <si>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</si>
  <si>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</si>
  <si>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</si>
  <si>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</si>
  <si>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</si>
  <si>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</si>
  <si>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</si>
  <si>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</si>
  <si>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</si>
  <si>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</si>
  <si>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</si>
  <si>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</si>
  <si>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</si>
  <si>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</si>
  <si>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</si>
  <si>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</si>
  <si>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</si>
  <si>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</si>
  <si>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</si>
  <si>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</si>
  <si>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</si>
  <si>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</si>
  <si>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</si>
  <si>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</si>
  <si>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</si>
  <si>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</si>
  <si>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</si>
  <si>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</si>
  <si>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</si>
  <si>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</si>
  <si>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</si>
  <si>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</si>
  <si>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</si>
  <si>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</si>
  <si>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</si>
  <si>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</si>
  <si>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</si>
  <si>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</si>
  <si>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</si>
  <si>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</si>
  <si>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</si>
  <si>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</si>
  <si>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</si>
  <si>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</si>
  <si>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</si>
  <si>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</si>
  <si>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</si>
  <si>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</si>
  <si>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</si>
  <si>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</si>
  <si>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</si>
  <si>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</si>
  <si>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</si>
  <si>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</si>
  <si>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</si>
  <si>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</si>
  <si>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</si>
  <si>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</si>
  <si>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</si>
  <si>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</si>
  <si>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</si>
  <si>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</si>
  <si>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</si>
  <si>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</si>
  <si>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</si>
  <si>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</si>
  <si>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</si>
  <si>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</si>
  <si>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</si>
  <si>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</si>
  <si>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</si>
  <si>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</si>
  <si>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</si>
  <si>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</si>
  <si>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</si>
  <si>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</si>
  <si>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</si>
  <si>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</si>
  <si>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</si>
  <si>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</si>
  <si>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</si>
  <si>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</si>
  <si>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</si>
  <si>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</si>
  <si>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</si>
  <si>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</si>
  <si>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</si>
  <si>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</si>
  <si>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</si>
  <si>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</si>
  <si>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</si>
  <si>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</si>
  <si>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</si>
  <si>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</si>
  <si>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</si>
  <si>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</si>
  <si>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</si>
  <si>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</si>
  <si>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</si>
  <si>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</si>
  <si>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</si>
  <si>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</si>
  <si>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</si>
  <si>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</si>
  <si>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</si>
  <si>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</si>
  <si>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</si>
  <si>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</si>
  <si>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</si>
  <si>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</si>
  <si>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</si>
  <si>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</si>
  <si>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</si>
  <si>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</si>
  <si>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</si>
  <si>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</si>
  <si>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</si>
  <si>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</si>
  <si>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</si>
  <si>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</si>
  <si>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</si>
  <si>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</si>
  <si>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</si>
  <si>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</si>
  <si>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</si>
  <si>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</si>
  <si>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</si>
  <si>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</si>
  <si>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</si>
  <si>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</si>
  <si>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</si>
  <si>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</si>
  <si>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</si>
  <si>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</si>
  <si>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</si>
  <si>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</si>
  <si>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</si>
  <si>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</si>
  <si>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</si>
  <si>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</si>
  <si>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</si>
  <si>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</si>
  <si>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</si>
  <si>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</si>
  <si>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</si>
  <si>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</si>
  <si>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</si>
  <si>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</si>
  <si>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</si>
  <si>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</si>
  <si>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</si>
  <si>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</si>
  <si>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</si>
  <si>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</si>
  <si>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</si>
  <si>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</si>
  <si>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</si>
  <si>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</si>
  <si>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</si>
  <si>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</si>
  <si>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</si>
  <si>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</si>
  <si>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</si>
  <si>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</si>
  <si>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</si>
  <si>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</si>
  <si>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</si>
  <si>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</si>
  <si>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</si>
  <si>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</si>
  <si>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</si>
  <si>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</si>
  <si>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</si>
  <si>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</si>
  <si>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</si>
  <si>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</si>
  <si>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</si>
  <si>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</si>
  <si>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</si>
  <si>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</si>
  <si>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</si>
  <si>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</si>
  <si>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</si>
  <si>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</si>
  <si>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</si>
  <si>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</si>
  <si>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</si>
  <si>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</si>
  <si>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</si>
  <si>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</si>
  <si>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</si>
  <si>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</si>
  <si>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</si>
  <si>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</si>
  <si>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</si>
  <si>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</si>
  <si>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</si>
  <si>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</si>
  <si>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</si>
  <si>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</si>
  <si>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</si>
  <si>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</si>
  <si>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</si>
  <si>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</si>
  <si>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</si>
  <si>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</si>
  <si>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</si>
  <si>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</si>
  <si>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</si>
  <si>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</si>
  <si>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</si>
  <si>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</si>
  <si>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</si>
  <si>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</si>
  <si>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</si>
  <si>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</si>
  <si>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</si>
  <si>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</si>
  <si>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</si>
  <si>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</si>
  <si>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</si>
  <si>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</si>
  <si>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</si>
  <si>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</si>
  <si>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</si>
  <si>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</si>
  <si>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</si>
  <si>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</si>
  <si>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</si>
  <si>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</si>
  <si>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</si>
  <si>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</si>
  <si>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</si>
  <si>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</si>
  <si>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</si>
  <si>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</si>
  <si>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</si>
  <si>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</si>
  <si>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</si>
  <si>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</si>
  <si>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</si>
  <si>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</si>
  <si>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</si>
  <si>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</si>
  <si>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</si>
  <si>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</si>
  <si>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</si>
  <si>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</si>
  <si>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</si>
  <si>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</si>
  <si>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</si>
  <si>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</si>
  <si>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</si>
  <si>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</si>
  <si>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</si>
  <si>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</si>
  <si>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</si>
  <si>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</si>
  <si>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</si>
  <si>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</si>
  <si>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</si>
  <si>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</si>
  <si>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</si>
  <si>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</si>
  <si>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</si>
  <si>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</si>
  <si>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</si>
  <si>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</si>
  <si>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</si>
  <si>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</si>
  <si>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</si>
  <si>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</si>
  <si>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</si>
  <si>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</si>
  <si>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</si>
  <si>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</si>
  <si>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</si>
  <si>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</si>
  <si>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</si>
  <si>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</si>
  <si>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</si>
  <si>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</si>
  <si>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</si>
  <si>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</si>
  <si>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</si>
  <si>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</si>
  <si>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</si>
  <si>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</si>
  <si>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</si>
  <si>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</si>
  <si>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</si>
  <si>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</si>
  <si>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</si>
  <si>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</si>
  <si>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</si>
  <si>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</si>
  <si>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</si>
  <si>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</si>
  <si>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</si>
  <si>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</si>
  <si>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</si>
  <si>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</si>
  <si>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</si>
  <si>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</si>
  <si>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</si>
  <si>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</si>
  <si>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</si>
  <si>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</si>
  <si>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</si>
  <si>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</si>
  <si>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</si>
  <si>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</si>
  <si>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</si>
  <si>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</si>
  <si>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</si>
  <si>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</si>
  <si>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</si>
  <si>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</si>
  <si>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</si>
  <si>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</si>
  <si>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</si>
  <si>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</si>
  <si>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</si>
  <si>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</si>
  <si>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</si>
  <si>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</si>
  <si>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</si>
  <si>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</si>
  <si>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</si>
  <si>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</si>
  <si>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</si>
  <si>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</si>
  <si>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</si>
  <si>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</si>
  <si>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</si>
  <si>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</si>
  <si>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</si>
  <si>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</si>
  <si>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</si>
  <si>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</si>
  <si>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</si>
  <si>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</si>
  <si>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</si>
  <si>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</si>
  <si>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</si>
  <si>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</si>
  <si>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</si>
  <si>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</si>
  <si>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</si>
  <si>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</si>
  <si>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</si>
  <si>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</si>
  <si>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</si>
  <si>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</si>
  <si>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</si>
  <si>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</si>
  <si>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</si>
  <si>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</si>
  <si>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</si>
  <si>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</si>
  <si>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</si>
  <si>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</si>
  <si>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</si>
  <si>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</si>
  <si>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</si>
  <si>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</si>
  <si>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</si>
  <si>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</si>
  <si>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</si>
  <si>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</si>
  <si>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</si>
  <si>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</si>
  <si>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</si>
  <si>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</si>
  <si>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</si>
  <si>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</si>
  <si>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</si>
  <si>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</si>
  <si>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</si>
  <si>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</si>
  <si>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</si>
  <si>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</si>
  <si>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</si>
  <si>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</si>
  <si>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</si>
  <si>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</si>
  <si>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</si>
  <si>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</si>
  <si>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</si>
  <si>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</si>
  <si>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</si>
  <si>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</si>
  <si>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</si>
  <si>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</si>
  <si>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</si>
  <si>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</si>
  <si>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</si>
  <si>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</si>
  <si>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</si>
  <si>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</si>
  <si>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</si>
  <si>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</si>
  <si>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</si>
  <si>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</si>
  <si>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</si>
  <si>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</si>
  <si>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</si>
  <si>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</si>
  <si>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</si>
  <si>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</si>
  <si>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</si>
  <si>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</si>
  <si>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</si>
  <si>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</si>
  <si>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</si>
  <si>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</si>
  <si>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</si>
  <si>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</si>
  <si>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</si>
  <si>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</si>
  <si>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</si>
  <si>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</si>
  <si>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</si>
  <si>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</si>
  <si>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</si>
  <si>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</si>
  <si>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</si>
  <si>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</si>
  <si>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</si>
  <si>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</si>
  <si>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</si>
  <si>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</si>
  <si>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</si>
  <si>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</si>
  <si>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</si>
  <si>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</si>
  <si>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</si>
  <si>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</si>
  <si>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</si>
  <si>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</si>
  <si>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</si>
  <si>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</si>
  <si>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</si>
  <si>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</si>
  <si>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</si>
  <si>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</si>
  <si>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</si>
  <si>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</si>
  <si>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</si>
  <si>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</si>
  <si>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</si>
  <si>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</si>
  <si>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</si>
  <si>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</si>
  <si>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</si>
  <si>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</si>
  <si>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</si>
  <si>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</si>
  <si>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</si>
  <si>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</si>
  <si>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</si>
  <si>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</si>
  <si>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</si>
  <si>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</si>
  <si>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</si>
  <si>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</si>
  <si>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</si>
  <si>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</si>
  <si>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</si>
  <si>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</si>
  <si>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</si>
  <si>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</si>
  <si>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</si>
  <si>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</si>
  <si>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</si>
  <si>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</si>
  <si>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</si>
  <si>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</si>
  <si>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</si>
  <si>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</si>
  <si>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</si>
  <si>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</si>
  <si>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</si>
  <si>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</si>
  <si>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</si>
  <si>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</si>
  <si>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</si>
  <si>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</si>
  <si>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</si>
  <si>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</si>
  <si>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</si>
  <si>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</si>
  <si>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</si>
  <si>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</si>
  <si>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</si>
  <si>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</si>
  <si>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</si>
  <si>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</si>
  <si>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</si>
  <si>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</si>
  <si>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</si>
  <si>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</si>
  <si>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</si>
  <si>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</si>
  <si>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</si>
  <si>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</si>
  <si>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</si>
  <si>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</si>
  <si>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</si>
  <si>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</si>
  <si>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</si>
  <si>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</si>
  <si>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</si>
  <si>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</si>
  <si>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</si>
  <si>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</si>
  <si>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</si>
  <si>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</si>
  <si>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</si>
  <si>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</si>
  <si>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</si>
  <si>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</si>
  <si>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</si>
  <si>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</si>
  <si>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</si>
  <si>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</si>
  <si>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</si>
  <si>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</si>
  <si>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</si>
  <si>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</si>
  <si>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</si>
  <si>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</si>
  <si>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</si>
  <si>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</si>
  <si>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</si>
  <si>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</si>
  <si>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</si>
  <si>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</si>
  <si>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</si>
  <si>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</si>
  <si>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</si>
  <si>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</si>
  <si>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</si>
  <si>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</si>
  <si>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</si>
  <si>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</si>
  <si>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</si>
  <si>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</si>
  <si>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</si>
  <si>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</si>
  <si>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</si>
  <si>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</si>
  <si>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</si>
  <si>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</si>
  <si>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</si>
  <si>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</si>
  <si>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</si>
  <si>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</si>
  <si>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</si>
  <si>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</si>
  <si>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</si>
  <si>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</si>
  <si>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</si>
  <si>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</si>
  <si>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</si>
  <si>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</si>
  <si>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</si>
  <si>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</si>
  <si>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</si>
  <si>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</si>
  <si>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</si>
  <si>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</si>
  <si>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</si>
  <si>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</si>
  <si>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</si>
  <si>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</si>
  <si>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</si>
  <si>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</si>
  <si>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</si>
  <si>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</si>
  <si>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</si>
  <si>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</si>
  <si>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</si>
  <si>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</si>
  <si>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</si>
  <si>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</si>
  <si>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</si>
  <si>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</si>
  <si>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</si>
  <si>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</si>
  <si>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</si>
  <si>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</si>
  <si>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</si>
  <si>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</si>
  <si>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</si>
  <si>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</si>
  <si>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36007</t>
  </si>
  <si>
    <t>INGELMUNSTER</t>
  </si>
  <si>
    <t>Paarden&amp;pony's 200 - 600 kg</t>
  </si>
  <si>
    <t>Paarden&amp;pony's &lt; 200 kg</t>
  </si>
  <si>
    <t>Fluvius</t>
  </si>
  <si>
    <t>referentietaak LNE (2017); Jaarverslag De Lijn</t>
  </si>
  <si>
    <t>Franky Galle</t>
  </si>
  <si>
    <t>Veldstraat 1 A, 8770 Ingelmunster</t>
  </si>
  <si>
    <t>WKK-0323 Franky Galle</t>
  </si>
  <si>
    <t>interne verbrandingsmotor</t>
  </si>
  <si>
    <t>WKK interne verbrandinsgmotor (gas)</t>
  </si>
  <si>
    <t>GASELWEST</t>
  </si>
  <si>
    <t>Neegro bvba</t>
  </si>
  <si>
    <t>Oostrozebekestraat 287 a, 8770 Ingelmunster</t>
  </si>
  <si>
    <t>WKK-0363 Neegro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</si>
</sst>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36007</v>
      </c>
      <c r="B6" s="386"/>
      <c r="C6" s="387"/>
    </row>
    <row r="7" spans="1:7" s="384" customFormat="1" ht="15.75" customHeight="1">
      <c r="A7" s="388" t="str">
        <f>txtMunicipality</f>
        <v>INGELMUNSTER</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13373.511397253787</v>
      </c>
      <c r="D10" s="676">
        <f ca="1">tertiair!C16</f>
        <v>0</v>
      </c>
      <c r="E10" s="676">
        <f ca="1">tertiair!D16</f>
        <v>11410.929906405721</v>
      </c>
      <c r="F10" s="676">
        <f>tertiair!E16</f>
        <v>115.67007017563412</v>
      </c>
      <c r="G10" s="676">
        <f ca="1">tertiair!F16</f>
        <v>2750.2133601036594</v>
      </c>
      <c r="H10" s="676">
        <f>tertiair!G16</f>
        <v>0</v>
      </c>
      <c r="I10" s="676">
        <f>tertiair!H16</f>
        <v>0</v>
      </c>
      <c r="J10" s="676">
        <f>tertiair!I16</f>
        <v>0</v>
      </c>
      <c r="K10" s="676">
        <f>tertiair!J16</f>
        <v>0</v>
      </c>
      <c r="L10" s="676">
        <f>tertiair!K16</f>
        <v>0</v>
      </c>
      <c r="M10" s="676">
        <f ca="1">tertiair!L16</f>
        <v>0</v>
      </c>
      <c r="N10" s="676">
        <f>tertiair!M16</f>
        <v>0</v>
      </c>
      <c r="O10" s="676">
        <f ca="1">tertiair!N16</f>
        <v>1547.782156184812</v>
      </c>
      <c r="P10" s="676">
        <f>tertiair!O16</f>
        <v>1.5633333333333335</v>
      </c>
      <c r="Q10" s="677">
        <f>tertiair!P16</f>
        <v>0</v>
      </c>
      <c r="R10" s="679">
        <f ca="1">SUM(C10:Q10)</f>
        <v>29199.670223456942</v>
      </c>
      <c r="S10" s="68"/>
    </row>
    <row r="11" spans="1:19" s="445" customFormat="1">
      <c r="A11" s="791" t="s">
        <v>220</v>
      </c>
      <c r="B11" s="796"/>
      <c r="C11" s="676">
        <f>huishoudens!B8</f>
        <v>18214.232101268812</v>
      </c>
      <c r="D11" s="676">
        <f>huishoudens!C8</f>
        <v>0</v>
      </c>
      <c r="E11" s="676">
        <f>huishoudens!D8</f>
        <v>43347.681362389165</v>
      </c>
      <c r="F11" s="676">
        <f>huishoudens!E8</f>
        <v>870.21494627685536</v>
      </c>
      <c r="G11" s="676">
        <f>huishoudens!F8</f>
        <v>26530.327220529056</v>
      </c>
      <c r="H11" s="676">
        <f>huishoudens!G8</f>
        <v>0</v>
      </c>
      <c r="I11" s="676">
        <f>huishoudens!H8</f>
        <v>0</v>
      </c>
      <c r="J11" s="676">
        <f>huishoudens!I8</f>
        <v>0</v>
      </c>
      <c r="K11" s="676">
        <f>huishoudens!J8</f>
        <v>481.38354303450626</v>
      </c>
      <c r="L11" s="676">
        <f>huishoudens!K8</f>
        <v>0</v>
      </c>
      <c r="M11" s="676">
        <f>huishoudens!L8</f>
        <v>0</v>
      </c>
      <c r="N11" s="676">
        <f>huishoudens!M8</f>
        <v>0</v>
      </c>
      <c r="O11" s="676">
        <f>huishoudens!N8</f>
        <v>6241.753128753734</v>
      </c>
      <c r="P11" s="676">
        <f>huishoudens!O8</f>
        <v>48.463333333333338</v>
      </c>
      <c r="Q11" s="677">
        <f>huishoudens!P8</f>
        <v>133.46666666666667</v>
      </c>
      <c r="R11" s="679">
        <f>SUM(C11:Q11)</f>
        <v>95867.522302252124</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18577.769820961454</v>
      </c>
      <c r="D13" s="676">
        <f>industrie!C18</f>
        <v>0</v>
      </c>
      <c r="E13" s="676">
        <f>industrie!D18</f>
        <v>20349.502508500944</v>
      </c>
      <c r="F13" s="676">
        <f>industrie!E18</f>
        <v>158.51173611172214</v>
      </c>
      <c r="G13" s="676">
        <f>industrie!F18</f>
        <v>4553.0840777945323</v>
      </c>
      <c r="H13" s="676">
        <f>industrie!G18</f>
        <v>0</v>
      </c>
      <c r="I13" s="676">
        <f>industrie!H18</f>
        <v>0</v>
      </c>
      <c r="J13" s="676">
        <f>industrie!I18</f>
        <v>0</v>
      </c>
      <c r="K13" s="676">
        <f>industrie!J18</f>
        <v>54.278642713891209</v>
      </c>
      <c r="L13" s="676">
        <f>industrie!K18</f>
        <v>0</v>
      </c>
      <c r="M13" s="676">
        <f>industrie!L18</f>
        <v>0</v>
      </c>
      <c r="N13" s="676">
        <f>industrie!M18</f>
        <v>0</v>
      </c>
      <c r="O13" s="676">
        <f>industrie!N18</f>
        <v>564.99657129990521</v>
      </c>
      <c r="P13" s="676">
        <f>industrie!O18</f>
        <v>0</v>
      </c>
      <c r="Q13" s="677">
        <f>industrie!P18</f>
        <v>0</v>
      </c>
      <c r="R13" s="679">
        <f>SUM(C13:Q13)</f>
        <v>44258.143357382454</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50165.513319484053</v>
      </c>
      <c r="D16" s="709">
        <f t="shared" ref="D16:R16" ca="1" si="0">SUM(D9:D15)</f>
        <v>0</v>
      </c>
      <c r="E16" s="709">
        <f t="shared" ca="1" si="0"/>
        <v>75108.113777295832</v>
      </c>
      <c r="F16" s="709">
        <f t="shared" si="0"/>
        <v>1144.3967525642115</v>
      </c>
      <c r="G16" s="709">
        <f t="shared" ca="1" si="0"/>
        <v>33833.624658427245</v>
      </c>
      <c r="H16" s="709">
        <f t="shared" si="0"/>
        <v>0</v>
      </c>
      <c r="I16" s="709">
        <f t="shared" si="0"/>
        <v>0</v>
      </c>
      <c r="J16" s="709">
        <f t="shared" si="0"/>
        <v>0</v>
      </c>
      <c r="K16" s="709">
        <f t="shared" si="0"/>
        <v>535.66218574839752</v>
      </c>
      <c r="L16" s="709">
        <f t="shared" si="0"/>
        <v>0</v>
      </c>
      <c r="M16" s="709">
        <f t="shared" ca="1" si="0"/>
        <v>0</v>
      </c>
      <c r="N16" s="709">
        <f t="shared" si="0"/>
        <v>0</v>
      </c>
      <c r="O16" s="709">
        <f t="shared" ca="1" si="0"/>
        <v>8354.5318562384509</v>
      </c>
      <c r="P16" s="709">
        <f t="shared" si="0"/>
        <v>50.026666666666671</v>
      </c>
      <c r="Q16" s="709">
        <f t="shared" si="0"/>
        <v>133.46666666666667</v>
      </c>
      <c r="R16" s="709">
        <f t="shared" ca="1" si="0"/>
        <v>169325.33588309152</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3.1943749528037273</v>
      </c>
      <c r="D19" s="676">
        <f>transport!C54</f>
        <v>0</v>
      </c>
      <c r="E19" s="676">
        <f>transport!D54</f>
        <v>0</v>
      </c>
      <c r="F19" s="676">
        <f>transport!E54</f>
        <v>0</v>
      </c>
      <c r="G19" s="676">
        <f>transport!F54</f>
        <v>0</v>
      </c>
      <c r="H19" s="676">
        <f>transport!G54</f>
        <v>637.12438225566871</v>
      </c>
      <c r="I19" s="676">
        <f>transport!H54</f>
        <v>0</v>
      </c>
      <c r="J19" s="676">
        <f>transport!I54</f>
        <v>0</v>
      </c>
      <c r="K19" s="676">
        <f>transport!J54</f>
        <v>0</v>
      </c>
      <c r="L19" s="676">
        <f>transport!K54</f>
        <v>0</v>
      </c>
      <c r="M19" s="676">
        <f>transport!L54</f>
        <v>0</v>
      </c>
      <c r="N19" s="676">
        <f>transport!M54</f>
        <v>28.16021912014256</v>
      </c>
      <c r="O19" s="676">
        <f>transport!N54</f>
        <v>0</v>
      </c>
      <c r="P19" s="676">
        <f>transport!O54</f>
        <v>0</v>
      </c>
      <c r="Q19" s="677">
        <f>transport!P54</f>
        <v>0</v>
      </c>
      <c r="R19" s="679">
        <f>SUM(C19:Q19)</f>
        <v>668.47897632861498</v>
      </c>
      <c r="S19" s="68"/>
    </row>
    <row r="20" spans="1:19" s="445" customFormat="1">
      <c r="A20" s="791" t="s">
        <v>302</v>
      </c>
      <c r="B20" s="796"/>
      <c r="C20" s="676">
        <f>transport!B14</f>
        <v>2.036102636754983</v>
      </c>
      <c r="D20" s="676">
        <f>transport!C14</f>
        <v>0</v>
      </c>
      <c r="E20" s="676">
        <f>transport!D14</f>
        <v>2.4558080490843626</v>
      </c>
      <c r="F20" s="676">
        <f>transport!E14</f>
        <v>157.36020736190301</v>
      </c>
      <c r="G20" s="676">
        <f>transport!F14</f>
        <v>0</v>
      </c>
      <c r="H20" s="676">
        <f>transport!G14</f>
        <v>44526.535901130483</v>
      </c>
      <c r="I20" s="676">
        <f>transport!H14</f>
        <v>5925.4952287928691</v>
      </c>
      <c r="J20" s="676">
        <f>transport!I14</f>
        <v>0</v>
      </c>
      <c r="K20" s="676">
        <f>transport!J14</f>
        <v>0</v>
      </c>
      <c r="L20" s="676">
        <f>transport!K14</f>
        <v>0</v>
      </c>
      <c r="M20" s="676">
        <f>transport!L14</f>
        <v>0</v>
      </c>
      <c r="N20" s="676">
        <f>transport!M14</f>
        <v>2252.6559750807801</v>
      </c>
      <c r="O20" s="676">
        <f>transport!N14</f>
        <v>0</v>
      </c>
      <c r="P20" s="676">
        <f>transport!O14</f>
        <v>0</v>
      </c>
      <c r="Q20" s="677">
        <f>transport!P14</f>
        <v>0</v>
      </c>
      <c r="R20" s="679">
        <f>SUM(C20:Q20)</f>
        <v>52866.53922305187</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5.2304775895587099</v>
      </c>
      <c r="D22" s="794">
        <f t="shared" ref="D22:R22" si="1">SUM(D18:D21)</f>
        <v>0</v>
      </c>
      <c r="E22" s="794">
        <f t="shared" si="1"/>
        <v>2.4558080490843626</v>
      </c>
      <c r="F22" s="794">
        <f t="shared" si="1"/>
        <v>157.36020736190301</v>
      </c>
      <c r="G22" s="794">
        <f t="shared" si="1"/>
        <v>0</v>
      </c>
      <c r="H22" s="794">
        <f t="shared" si="1"/>
        <v>45163.660283386154</v>
      </c>
      <c r="I22" s="794">
        <f t="shared" si="1"/>
        <v>5925.4952287928691</v>
      </c>
      <c r="J22" s="794">
        <f t="shared" si="1"/>
        <v>0</v>
      </c>
      <c r="K22" s="794">
        <f t="shared" si="1"/>
        <v>0</v>
      </c>
      <c r="L22" s="794">
        <f t="shared" si="1"/>
        <v>0</v>
      </c>
      <c r="M22" s="794">
        <f t="shared" si="1"/>
        <v>0</v>
      </c>
      <c r="N22" s="794">
        <f t="shared" si="1"/>
        <v>2280.8161942009228</v>
      </c>
      <c r="O22" s="794">
        <f t="shared" si="1"/>
        <v>0</v>
      </c>
      <c r="P22" s="794">
        <f t="shared" si="1"/>
        <v>0</v>
      </c>
      <c r="Q22" s="794">
        <f t="shared" si="1"/>
        <v>0</v>
      </c>
      <c r="R22" s="794">
        <f t="shared" si="1"/>
        <v>53535.018199380487</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3483.0780343557394</v>
      </c>
      <c r="D24" s="676">
        <f>+landbouw!C8</f>
        <v>18546.428571428572</v>
      </c>
      <c r="E24" s="676">
        <f>+landbouw!D8</f>
        <v>535.54829135263572</v>
      </c>
      <c r="F24" s="676">
        <f>+landbouw!E8</f>
        <v>32.812928822467946</v>
      </c>
      <c r="G24" s="676">
        <f>+landbouw!F8</f>
        <v>11366.439558184653</v>
      </c>
      <c r="H24" s="676">
        <f>+landbouw!G8</f>
        <v>0</v>
      </c>
      <c r="I24" s="676">
        <f>+landbouw!H8</f>
        <v>0</v>
      </c>
      <c r="J24" s="676">
        <f>+landbouw!I8</f>
        <v>0</v>
      </c>
      <c r="K24" s="676">
        <f>+landbouw!J8</f>
        <v>430.8736945381097</v>
      </c>
      <c r="L24" s="676">
        <f>+landbouw!K8</f>
        <v>0</v>
      </c>
      <c r="M24" s="676">
        <f>+landbouw!L8</f>
        <v>0</v>
      </c>
      <c r="N24" s="676">
        <f>+landbouw!M8</f>
        <v>0</v>
      </c>
      <c r="O24" s="676">
        <f>+landbouw!N8</f>
        <v>0</v>
      </c>
      <c r="P24" s="676">
        <f>+landbouw!O8</f>
        <v>0</v>
      </c>
      <c r="Q24" s="677">
        <f>+landbouw!P8</f>
        <v>0</v>
      </c>
      <c r="R24" s="679">
        <f>SUM(C24:Q24)</f>
        <v>34395.181078682173</v>
      </c>
      <c r="S24" s="68"/>
    </row>
    <row r="25" spans="1:19" s="445" customFormat="1" ht="15" thickBot="1">
      <c r="A25" s="813" t="s">
        <v>879</v>
      </c>
      <c r="B25" s="979"/>
      <c r="C25" s="980">
        <f>IF(Onbekend_ele_kWh="---",0,Onbekend_ele_kWh)/1000+IF(REST_rest_ele_kWh="---",0,REST_rest_ele_kWh)/1000</f>
        <v>703.37407209331991</v>
      </c>
      <c r="D25" s="980"/>
      <c r="E25" s="980">
        <f>IF(onbekend_gas_kWh="---",0,onbekend_gas_kWh)/1000+IF(REST_rest_gas_kWh="---",0,REST_rest_gas_kWh)/1000</f>
        <v>1981.68868101219</v>
      </c>
      <c r="F25" s="980"/>
      <c r="G25" s="980"/>
      <c r="H25" s="980"/>
      <c r="I25" s="980"/>
      <c r="J25" s="980"/>
      <c r="K25" s="980"/>
      <c r="L25" s="980"/>
      <c r="M25" s="980"/>
      <c r="N25" s="980"/>
      <c r="O25" s="980"/>
      <c r="P25" s="980"/>
      <c r="Q25" s="981"/>
      <c r="R25" s="679">
        <f>SUM(C25:Q25)</f>
        <v>2685.0627531055097</v>
      </c>
      <c r="S25" s="68"/>
    </row>
    <row r="26" spans="1:19" s="445" customFormat="1" ht="15.75" thickBot="1">
      <c r="A26" s="682" t="s">
        <v>880</v>
      </c>
      <c r="B26" s="799"/>
      <c r="C26" s="794">
        <f>SUM(C24:C25)</f>
        <v>4186.4521064490591</v>
      </c>
      <c r="D26" s="794">
        <f t="shared" ref="D26:R26" si="2">SUM(D24:D25)</f>
        <v>18546.428571428572</v>
      </c>
      <c r="E26" s="794">
        <f t="shared" si="2"/>
        <v>2517.2369723648258</v>
      </c>
      <c r="F26" s="794">
        <f t="shared" si="2"/>
        <v>32.812928822467946</v>
      </c>
      <c r="G26" s="794">
        <f t="shared" si="2"/>
        <v>11366.439558184653</v>
      </c>
      <c r="H26" s="794">
        <f t="shared" si="2"/>
        <v>0</v>
      </c>
      <c r="I26" s="794">
        <f t="shared" si="2"/>
        <v>0</v>
      </c>
      <c r="J26" s="794">
        <f t="shared" si="2"/>
        <v>0</v>
      </c>
      <c r="K26" s="794">
        <f t="shared" si="2"/>
        <v>430.8736945381097</v>
      </c>
      <c r="L26" s="794">
        <f t="shared" si="2"/>
        <v>0</v>
      </c>
      <c r="M26" s="794">
        <f t="shared" si="2"/>
        <v>0</v>
      </c>
      <c r="N26" s="794">
        <f t="shared" si="2"/>
        <v>0</v>
      </c>
      <c r="O26" s="794">
        <f t="shared" si="2"/>
        <v>0</v>
      </c>
      <c r="P26" s="794">
        <f t="shared" si="2"/>
        <v>0</v>
      </c>
      <c r="Q26" s="794">
        <f t="shared" si="2"/>
        <v>0</v>
      </c>
      <c r="R26" s="794">
        <f t="shared" si="2"/>
        <v>37080.24383178768</v>
      </c>
      <c r="S26" s="68"/>
    </row>
    <row r="27" spans="1:19" s="445" customFormat="1" ht="17.25" thickTop="1" thickBot="1">
      <c r="A27" s="683" t="s">
        <v>115</v>
      </c>
      <c r="B27" s="786"/>
      <c r="C27" s="684">
        <f ca="1">C22+C16+C26</f>
        <v>54357.195903522676</v>
      </c>
      <c r="D27" s="684">
        <f t="shared" ref="D27:R27" ca="1" si="3">D22+D16+D26</f>
        <v>18546.428571428572</v>
      </c>
      <c r="E27" s="684">
        <f t="shared" ca="1" si="3"/>
        <v>77627.806557709744</v>
      </c>
      <c r="F27" s="684">
        <f t="shared" si="3"/>
        <v>1334.5698887485826</v>
      </c>
      <c r="G27" s="684">
        <f t="shared" ca="1" si="3"/>
        <v>45200.0642166119</v>
      </c>
      <c r="H27" s="684">
        <f t="shared" si="3"/>
        <v>45163.660283386154</v>
      </c>
      <c r="I27" s="684">
        <f t="shared" si="3"/>
        <v>5925.4952287928691</v>
      </c>
      <c r="J27" s="684">
        <f t="shared" si="3"/>
        <v>0</v>
      </c>
      <c r="K27" s="684">
        <f t="shared" si="3"/>
        <v>966.53588028650722</v>
      </c>
      <c r="L27" s="684">
        <f t="shared" si="3"/>
        <v>0</v>
      </c>
      <c r="M27" s="684">
        <f t="shared" ca="1" si="3"/>
        <v>0</v>
      </c>
      <c r="N27" s="684">
        <f t="shared" si="3"/>
        <v>2280.8161942009228</v>
      </c>
      <c r="O27" s="684">
        <f t="shared" ca="1" si="3"/>
        <v>8354.5318562384509</v>
      </c>
      <c r="P27" s="684">
        <f t="shared" si="3"/>
        <v>50.026666666666671</v>
      </c>
      <c r="Q27" s="684">
        <f t="shared" si="3"/>
        <v>133.46666666666667</v>
      </c>
      <c r="R27" s="684">
        <f t="shared" ca="1" si="3"/>
        <v>259940.59791425971</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2855.9214852315031</v>
      </c>
      <c r="D40" s="676">
        <f ca="1">tertiair!C20</f>
        <v>0</v>
      </c>
      <c r="E40" s="676">
        <f ca="1">tertiair!D20</f>
        <v>2305.0078410939559</v>
      </c>
      <c r="F40" s="676">
        <f>tertiair!E20</f>
        <v>26.257105929868946</v>
      </c>
      <c r="G40" s="676">
        <f ca="1">tertiair!F20</f>
        <v>734.30696714767714</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5921.4933994030043</v>
      </c>
    </row>
    <row r="41" spans="1:18">
      <c r="A41" s="804" t="s">
        <v>220</v>
      </c>
      <c r="B41" s="811"/>
      <c r="C41" s="676">
        <f ca="1">huishoudens!B12</f>
        <v>3889.6603330138691</v>
      </c>
      <c r="D41" s="676">
        <f ca="1">huishoudens!C12</f>
        <v>0</v>
      </c>
      <c r="E41" s="676">
        <f>huishoudens!D12</f>
        <v>8756.2316352026119</v>
      </c>
      <c r="F41" s="676">
        <f>huishoudens!E12</f>
        <v>197.53879280484617</v>
      </c>
      <c r="G41" s="676">
        <f>huishoudens!F12</f>
        <v>7083.5973678812579</v>
      </c>
      <c r="H41" s="676">
        <f>huishoudens!G12</f>
        <v>0</v>
      </c>
      <c r="I41" s="676">
        <f>huishoudens!H12</f>
        <v>0</v>
      </c>
      <c r="J41" s="676">
        <f>huishoudens!I12</f>
        <v>0</v>
      </c>
      <c r="K41" s="676">
        <f>huishoudens!J12</f>
        <v>170.40977423421521</v>
      </c>
      <c r="L41" s="676">
        <f>huishoudens!K12</f>
        <v>0</v>
      </c>
      <c r="M41" s="676">
        <f>huishoudens!L12</f>
        <v>0</v>
      </c>
      <c r="N41" s="676">
        <f>huishoudens!M12</f>
        <v>0</v>
      </c>
      <c r="O41" s="676">
        <f>huishoudens!N12</f>
        <v>0</v>
      </c>
      <c r="P41" s="676">
        <f>huishoudens!O12</f>
        <v>0</v>
      </c>
      <c r="Q41" s="751">
        <f>huishoudens!P12</f>
        <v>0</v>
      </c>
      <c r="R41" s="832">
        <f t="shared" ca="1" si="4"/>
        <v>20097.437903136801</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3967.2940339561278</v>
      </c>
      <c r="D43" s="676">
        <f ca="1">industrie!C22</f>
        <v>0</v>
      </c>
      <c r="E43" s="676">
        <f>industrie!D22</f>
        <v>4110.5995067171907</v>
      </c>
      <c r="F43" s="676">
        <f>industrie!E22</f>
        <v>35.982164097360929</v>
      </c>
      <c r="G43" s="676">
        <f>industrie!F22</f>
        <v>1215.6734487711401</v>
      </c>
      <c r="H43" s="676">
        <f>industrie!G22</f>
        <v>0</v>
      </c>
      <c r="I43" s="676">
        <f>industrie!H22</f>
        <v>0</v>
      </c>
      <c r="J43" s="676">
        <f>industrie!I22</f>
        <v>0</v>
      </c>
      <c r="K43" s="676">
        <f>industrie!J22</f>
        <v>19.214639520717487</v>
      </c>
      <c r="L43" s="676">
        <f>industrie!K22</f>
        <v>0</v>
      </c>
      <c r="M43" s="676">
        <f>industrie!L22</f>
        <v>0</v>
      </c>
      <c r="N43" s="676">
        <f>industrie!M22</f>
        <v>0</v>
      </c>
      <c r="O43" s="676">
        <f>industrie!N22</f>
        <v>0</v>
      </c>
      <c r="P43" s="676">
        <f>industrie!O22</f>
        <v>0</v>
      </c>
      <c r="Q43" s="751">
        <f>industrie!P22</f>
        <v>0</v>
      </c>
      <c r="R43" s="831">
        <f t="shared" ca="1" si="4"/>
        <v>9348.7637930625369</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10712.8758522015</v>
      </c>
      <c r="D46" s="709">
        <f t="shared" ref="D46:Q46" ca="1" si="5">SUM(D39:D45)</f>
        <v>0</v>
      </c>
      <c r="E46" s="709">
        <f t="shared" ca="1" si="5"/>
        <v>15171.838983013757</v>
      </c>
      <c r="F46" s="709">
        <f t="shared" si="5"/>
        <v>259.77806283207605</v>
      </c>
      <c r="G46" s="709">
        <f t="shared" ca="1" si="5"/>
        <v>9033.5777838000758</v>
      </c>
      <c r="H46" s="709">
        <f t="shared" si="5"/>
        <v>0</v>
      </c>
      <c r="I46" s="709">
        <f t="shared" si="5"/>
        <v>0</v>
      </c>
      <c r="J46" s="709">
        <f t="shared" si="5"/>
        <v>0</v>
      </c>
      <c r="K46" s="709">
        <f t="shared" si="5"/>
        <v>189.6244137549327</v>
      </c>
      <c r="L46" s="709">
        <f t="shared" si="5"/>
        <v>0</v>
      </c>
      <c r="M46" s="709">
        <f t="shared" ca="1" si="5"/>
        <v>0</v>
      </c>
      <c r="N46" s="709">
        <f t="shared" si="5"/>
        <v>0</v>
      </c>
      <c r="O46" s="709">
        <f t="shared" ca="1" si="5"/>
        <v>0</v>
      </c>
      <c r="P46" s="709">
        <f t="shared" si="5"/>
        <v>0</v>
      </c>
      <c r="Q46" s="709">
        <f t="shared" si="5"/>
        <v>0</v>
      </c>
      <c r="R46" s="709">
        <f ca="1">SUM(R39:R45)</f>
        <v>35367.695095602343</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0.68216071221735308</v>
      </c>
      <c r="D49" s="676">
        <f ca="1">transport!C58</f>
        <v>0</v>
      </c>
      <c r="E49" s="676">
        <f>transport!D58</f>
        <v>0</v>
      </c>
      <c r="F49" s="676">
        <f>transport!E58</f>
        <v>0</v>
      </c>
      <c r="G49" s="676">
        <f>transport!F58</f>
        <v>0</v>
      </c>
      <c r="H49" s="676">
        <f>transport!G58</f>
        <v>170.11221006226356</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170.79437077448091</v>
      </c>
    </row>
    <row r="50" spans="1:18">
      <c r="A50" s="807" t="s">
        <v>302</v>
      </c>
      <c r="B50" s="817"/>
      <c r="C50" s="986">
        <f ca="1">transport!B18</f>
        <v>0.43481095530670827</v>
      </c>
      <c r="D50" s="986">
        <f>transport!C18</f>
        <v>0</v>
      </c>
      <c r="E50" s="986">
        <f>transport!D18</f>
        <v>0.49607322591504127</v>
      </c>
      <c r="F50" s="986">
        <f>transport!E18</f>
        <v>35.720767071151982</v>
      </c>
      <c r="G50" s="986">
        <f>transport!F18</f>
        <v>0</v>
      </c>
      <c r="H50" s="986">
        <f>transport!G18</f>
        <v>11888.585085601839</v>
      </c>
      <c r="I50" s="986">
        <f>transport!H18</f>
        <v>1475.4483119694244</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13400.685048823638</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1.1169716675240613</v>
      </c>
      <c r="D52" s="709">
        <f t="shared" ref="D52:Q52" ca="1" si="6">SUM(D48:D51)</f>
        <v>0</v>
      </c>
      <c r="E52" s="709">
        <f t="shared" si="6"/>
        <v>0.49607322591504127</v>
      </c>
      <c r="F52" s="709">
        <f t="shared" si="6"/>
        <v>35.720767071151982</v>
      </c>
      <c r="G52" s="709">
        <f t="shared" si="6"/>
        <v>0</v>
      </c>
      <c r="H52" s="709">
        <f t="shared" si="6"/>
        <v>12058.697295664102</v>
      </c>
      <c r="I52" s="709">
        <f t="shared" si="6"/>
        <v>1475.4483119694244</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13571.479419598119</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743.81343071178276</v>
      </c>
      <c r="D54" s="986">
        <f ca="1">+landbouw!C12</f>
        <v>4407.5042016806728</v>
      </c>
      <c r="E54" s="986">
        <f>+landbouw!D12</f>
        <v>108.18075485323241</v>
      </c>
      <c r="F54" s="986">
        <f>+landbouw!E12</f>
        <v>7.4485348427002238</v>
      </c>
      <c r="G54" s="986">
        <f>+landbouw!F12</f>
        <v>3034.8393620353027</v>
      </c>
      <c r="H54" s="986">
        <f>+landbouw!G12</f>
        <v>0</v>
      </c>
      <c r="I54" s="986">
        <f>+landbouw!H12</f>
        <v>0</v>
      </c>
      <c r="J54" s="986">
        <f>+landbouw!I12</f>
        <v>0</v>
      </c>
      <c r="K54" s="986">
        <f>+landbouw!J12</f>
        <v>152.52928786649082</v>
      </c>
      <c r="L54" s="986">
        <f>+landbouw!K12</f>
        <v>0</v>
      </c>
      <c r="M54" s="986">
        <f>+landbouw!L12</f>
        <v>0</v>
      </c>
      <c r="N54" s="986">
        <f>+landbouw!M12</f>
        <v>0</v>
      </c>
      <c r="O54" s="986">
        <f>+landbouw!N12</f>
        <v>0</v>
      </c>
      <c r="P54" s="986">
        <f>+landbouw!O12</f>
        <v>0</v>
      </c>
      <c r="Q54" s="987">
        <f>+landbouw!P12</f>
        <v>0</v>
      </c>
      <c r="R54" s="708">
        <f ca="1">SUM(C54:Q54)</f>
        <v>8454.3155719901824</v>
      </c>
    </row>
    <row r="55" spans="1:18" ht="15" thickBot="1">
      <c r="A55" s="807" t="s">
        <v>879</v>
      </c>
      <c r="B55" s="817"/>
      <c r="C55" s="986">
        <f ca="1">C25*'EF ele_warmte'!B12</f>
        <v>150.20596049729932</v>
      </c>
      <c r="D55" s="986"/>
      <c r="E55" s="986">
        <f>E25*EF_CO2_aardgas</f>
        <v>400.30111356446241</v>
      </c>
      <c r="F55" s="986"/>
      <c r="G55" s="986"/>
      <c r="H55" s="986"/>
      <c r="I55" s="986"/>
      <c r="J55" s="986"/>
      <c r="K55" s="986"/>
      <c r="L55" s="986"/>
      <c r="M55" s="986"/>
      <c r="N55" s="986"/>
      <c r="O55" s="986"/>
      <c r="P55" s="986"/>
      <c r="Q55" s="987"/>
      <c r="R55" s="708">
        <f ca="1">SUM(C55:Q55)</f>
        <v>550.50707406176173</v>
      </c>
    </row>
    <row r="56" spans="1:18" ht="15.75" thickBot="1">
      <c r="A56" s="805" t="s">
        <v>880</v>
      </c>
      <c r="B56" s="818"/>
      <c r="C56" s="709">
        <f ca="1">SUM(C54:C55)</f>
        <v>894.01939120908207</v>
      </c>
      <c r="D56" s="709">
        <f t="shared" ref="D56:Q56" ca="1" si="7">SUM(D54:D55)</f>
        <v>4407.5042016806728</v>
      </c>
      <c r="E56" s="709">
        <f t="shared" si="7"/>
        <v>508.48186841769484</v>
      </c>
      <c r="F56" s="709">
        <f t="shared" si="7"/>
        <v>7.4485348427002238</v>
      </c>
      <c r="G56" s="709">
        <f t="shared" si="7"/>
        <v>3034.8393620353027</v>
      </c>
      <c r="H56" s="709">
        <f t="shared" si="7"/>
        <v>0</v>
      </c>
      <c r="I56" s="709">
        <f t="shared" si="7"/>
        <v>0</v>
      </c>
      <c r="J56" s="709">
        <f t="shared" si="7"/>
        <v>0</v>
      </c>
      <c r="K56" s="709">
        <f t="shared" si="7"/>
        <v>152.52928786649082</v>
      </c>
      <c r="L56" s="709">
        <f t="shared" si="7"/>
        <v>0</v>
      </c>
      <c r="M56" s="709">
        <f t="shared" si="7"/>
        <v>0</v>
      </c>
      <c r="N56" s="709">
        <f t="shared" si="7"/>
        <v>0</v>
      </c>
      <c r="O56" s="709">
        <f t="shared" si="7"/>
        <v>0</v>
      </c>
      <c r="P56" s="709">
        <f t="shared" si="7"/>
        <v>0</v>
      </c>
      <c r="Q56" s="710">
        <f t="shared" si="7"/>
        <v>0</v>
      </c>
      <c r="R56" s="711">
        <f ca="1">SUM(R54:R55)</f>
        <v>9004.8226460519436</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11608.012215078106</v>
      </c>
      <c r="D61" s="717">
        <f t="shared" ref="D61:Q61" ca="1" si="8">D46+D52+D56</f>
        <v>4407.5042016806728</v>
      </c>
      <c r="E61" s="717">
        <f t="shared" ca="1" si="8"/>
        <v>15680.816924657367</v>
      </c>
      <c r="F61" s="717">
        <f t="shared" si="8"/>
        <v>302.94736474592827</v>
      </c>
      <c r="G61" s="717">
        <f t="shared" ca="1" si="8"/>
        <v>12068.417145835378</v>
      </c>
      <c r="H61" s="717">
        <f t="shared" si="8"/>
        <v>12058.697295664102</v>
      </c>
      <c r="I61" s="717">
        <f t="shared" si="8"/>
        <v>1475.4483119694244</v>
      </c>
      <c r="J61" s="717">
        <f t="shared" si="8"/>
        <v>0</v>
      </c>
      <c r="K61" s="717">
        <f t="shared" si="8"/>
        <v>342.15370162142352</v>
      </c>
      <c r="L61" s="717">
        <f t="shared" si="8"/>
        <v>0</v>
      </c>
      <c r="M61" s="717">
        <f t="shared" ca="1" si="8"/>
        <v>0</v>
      </c>
      <c r="N61" s="717">
        <f t="shared" si="8"/>
        <v>0</v>
      </c>
      <c r="O61" s="717">
        <f t="shared" ca="1" si="8"/>
        <v>0</v>
      </c>
      <c r="P61" s="717">
        <f t="shared" si="8"/>
        <v>0</v>
      </c>
      <c r="Q61" s="717">
        <f t="shared" si="8"/>
        <v>0</v>
      </c>
      <c r="R61" s="717">
        <f ca="1">R46+R52+R56</f>
        <v>57943.997161252402</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0.21355060764504663</v>
      </c>
      <c r="D63" s="761">
        <f t="shared" ca="1" si="9"/>
        <v>0.23764705882352943</v>
      </c>
      <c r="E63" s="988">
        <f t="shared" ca="1" si="9"/>
        <v>0.20199999999999999</v>
      </c>
      <c r="F63" s="761">
        <f t="shared" si="9"/>
        <v>0.22700000000000001</v>
      </c>
      <c r="G63" s="761">
        <f t="shared" ca="1" si="9"/>
        <v>0.26700000000000002</v>
      </c>
      <c r="H63" s="761">
        <f t="shared" si="9"/>
        <v>0.26699999999999996</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2810.1743021578077</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12982.5</v>
      </c>
      <c r="D76" s="998">
        <f>'lokale energieproductie'!C8</f>
        <v>15273.529411764706</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3085.2529411764708</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2810.1743021578077</v>
      </c>
      <c r="C78" s="732">
        <f>SUM(C72:C77)</f>
        <v>12982.5</v>
      </c>
      <c r="D78" s="733">
        <f t="shared" ref="D78:H78" si="10">SUM(D76:D77)</f>
        <v>15273.529411764706</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3085.2529411764708</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18546.428571428572</v>
      </c>
      <c r="D87" s="754">
        <f>'lokale energieproductie'!C17</f>
        <v>21819.327731092439</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4407.5042016806728</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18546.428571428572</v>
      </c>
      <c r="D90" s="732">
        <f t="shared" ref="D90:H90" si="12">SUM(D87:D89)</f>
        <v>21819.327731092439</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4407.5042016806728</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18214.232101268812</v>
      </c>
      <c r="C4" s="449">
        <f>huishoudens!C8</f>
        <v>0</v>
      </c>
      <c r="D4" s="449">
        <f>huishoudens!D8</f>
        <v>43347.681362389165</v>
      </c>
      <c r="E4" s="449">
        <f>huishoudens!E8</f>
        <v>870.21494627685536</v>
      </c>
      <c r="F4" s="449">
        <f>huishoudens!F8</f>
        <v>26530.327220529056</v>
      </c>
      <c r="G4" s="449">
        <f>huishoudens!G8</f>
        <v>0</v>
      </c>
      <c r="H4" s="449">
        <f>huishoudens!H8</f>
        <v>0</v>
      </c>
      <c r="I4" s="449">
        <f>huishoudens!I8</f>
        <v>0</v>
      </c>
      <c r="J4" s="449">
        <f>huishoudens!J8</f>
        <v>481.38354303450626</v>
      </c>
      <c r="K4" s="449">
        <f>huishoudens!K8</f>
        <v>0</v>
      </c>
      <c r="L4" s="449">
        <f>huishoudens!L8</f>
        <v>0</v>
      </c>
      <c r="M4" s="449">
        <f>huishoudens!M8</f>
        <v>0</v>
      </c>
      <c r="N4" s="449">
        <f>huishoudens!N8</f>
        <v>6241.753128753734</v>
      </c>
      <c r="O4" s="449">
        <f>huishoudens!O8</f>
        <v>48.463333333333338</v>
      </c>
      <c r="P4" s="450">
        <f>huishoudens!P8</f>
        <v>133.46666666666667</v>
      </c>
      <c r="Q4" s="451">
        <f>SUM(B4:P4)</f>
        <v>95867.522302252124</v>
      </c>
    </row>
    <row r="5" spans="1:17">
      <c r="A5" s="448" t="s">
        <v>155</v>
      </c>
      <c r="B5" s="449">
        <f ca="1">tertiair!B16</f>
        <v>12476.588397253787</v>
      </c>
      <c r="C5" s="449">
        <f ca="1">tertiair!C16</f>
        <v>0</v>
      </c>
      <c r="D5" s="449">
        <f ca="1">tertiair!D16</f>
        <v>11410.929906405721</v>
      </c>
      <c r="E5" s="449">
        <f>tertiair!E16</f>
        <v>115.67007017563412</v>
      </c>
      <c r="F5" s="449">
        <f ca="1">tertiair!F16</f>
        <v>2750.2133601036594</v>
      </c>
      <c r="G5" s="449">
        <f>tertiair!G16</f>
        <v>0</v>
      </c>
      <c r="H5" s="449">
        <f>tertiair!H16</f>
        <v>0</v>
      </c>
      <c r="I5" s="449">
        <f>tertiair!I16</f>
        <v>0</v>
      </c>
      <c r="J5" s="449">
        <f>tertiair!J16</f>
        <v>0</v>
      </c>
      <c r="K5" s="449">
        <f>tertiair!K16</f>
        <v>0</v>
      </c>
      <c r="L5" s="449">
        <f ca="1">tertiair!L16</f>
        <v>0</v>
      </c>
      <c r="M5" s="449">
        <f>tertiair!M16</f>
        <v>0</v>
      </c>
      <c r="N5" s="449">
        <f ca="1">tertiair!N16</f>
        <v>1547.782156184812</v>
      </c>
      <c r="O5" s="449">
        <f>tertiair!O16</f>
        <v>1.5633333333333335</v>
      </c>
      <c r="P5" s="450">
        <f>tertiair!P16</f>
        <v>0</v>
      </c>
      <c r="Q5" s="448">
        <f t="shared" ref="Q5:Q14" ca="1" si="0">SUM(B5:P5)</f>
        <v>28302.747223456943</v>
      </c>
    </row>
    <row r="6" spans="1:17">
      <c r="A6" s="448" t="s">
        <v>193</v>
      </c>
      <c r="B6" s="449">
        <f>'openbare verlichting'!B8</f>
        <v>896.923</v>
      </c>
      <c r="C6" s="449"/>
      <c r="D6" s="449"/>
      <c r="E6" s="449"/>
      <c r="F6" s="449"/>
      <c r="G6" s="449"/>
      <c r="H6" s="449"/>
      <c r="I6" s="449"/>
      <c r="J6" s="449"/>
      <c r="K6" s="449"/>
      <c r="L6" s="449"/>
      <c r="M6" s="449"/>
      <c r="N6" s="449"/>
      <c r="O6" s="449"/>
      <c r="P6" s="450"/>
      <c r="Q6" s="448">
        <f t="shared" si="0"/>
        <v>896.923</v>
      </c>
    </row>
    <row r="7" spans="1:17">
      <c r="A7" s="448" t="s">
        <v>111</v>
      </c>
      <c r="B7" s="449">
        <f>landbouw!B8</f>
        <v>3483.0780343557394</v>
      </c>
      <c r="C7" s="449">
        <f>landbouw!C8</f>
        <v>18546.428571428572</v>
      </c>
      <c r="D7" s="449">
        <f>landbouw!D8</f>
        <v>535.54829135263572</v>
      </c>
      <c r="E7" s="449">
        <f>landbouw!E8</f>
        <v>32.812928822467946</v>
      </c>
      <c r="F7" s="449">
        <f>landbouw!F8</f>
        <v>11366.439558184653</v>
      </c>
      <c r="G7" s="449">
        <f>landbouw!G8</f>
        <v>0</v>
      </c>
      <c r="H7" s="449">
        <f>landbouw!H8</f>
        <v>0</v>
      </c>
      <c r="I7" s="449">
        <f>landbouw!I8</f>
        <v>0</v>
      </c>
      <c r="J7" s="449">
        <f>landbouw!J8</f>
        <v>430.8736945381097</v>
      </c>
      <c r="K7" s="449">
        <f>landbouw!K8</f>
        <v>0</v>
      </c>
      <c r="L7" s="449">
        <f>landbouw!L8</f>
        <v>0</v>
      </c>
      <c r="M7" s="449">
        <f>landbouw!M8</f>
        <v>0</v>
      </c>
      <c r="N7" s="449">
        <f>landbouw!N8</f>
        <v>0</v>
      </c>
      <c r="O7" s="449">
        <f>landbouw!O8</f>
        <v>0</v>
      </c>
      <c r="P7" s="450">
        <f>landbouw!P8</f>
        <v>0</v>
      </c>
      <c r="Q7" s="448">
        <f t="shared" si="0"/>
        <v>34395.181078682173</v>
      </c>
    </row>
    <row r="8" spans="1:17">
      <c r="A8" s="448" t="s">
        <v>671</v>
      </c>
      <c r="B8" s="449">
        <f>industrie!B18</f>
        <v>18577.769820961454</v>
      </c>
      <c r="C8" s="449">
        <f>industrie!C18</f>
        <v>0</v>
      </c>
      <c r="D8" s="449">
        <f>industrie!D18</f>
        <v>20349.502508500944</v>
      </c>
      <c r="E8" s="449">
        <f>industrie!E18</f>
        <v>158.51173611172214</v>
      </c>
      <c r="F8" s="449">
        <f>industrie!F18</f>
        <v>4553.0840777945323</v>
      </c>
      <c r="G8" s="449">
        <f>industrie!G18</f>
        <v>0</v>
      </c>
      <c r="H8" s="449">
        <f>industrie!H18</f>
        <v>0</v>
      </c>
      <c r="I8" s="449">
        <f>industrie!I18</f>
        <v>0</v>
      </c>
      <c r="J8" s="449">
        <f>industrie!J18</f>
        <v>54.278642713891209</v>
      </c>
      <c r="K8" s="449">
        <f>industrie!K18</f>
        <v>0</v>
      </c>
      <c r="L8" s="449">
        <f>industrie!L18</f>
        <v>0</v>
      </c>
      <c r="M8" s="449">
        <f>industrie!M18</f>
        <v>0</v>
      </c>
      <c r="N8" s="449">
        <f>industrie!N18</f>
        <v>564.99657129990521</v>
      </c>
      <c r="O8" s="449">
        <f>industrie!O18</f>
        <v>0</v>
      </c>
      <c r="P8" s="450">
        <f>industrie!P18</f>
        <v>0</v>
      </c>
      <c r="Q8" s="448">
        <f t="shared" si="0"/>
        <v>44258.143357382454</v>
      </c>
    </row>
    <row r="9" spans="1:17" s="454" customFormat="1">
      <c r="A9" s="452" t="s">
        <v>568</v>
      </c>
      <c r="B9" s="453">
        <f>transport!B14</f>
        <v>2.036102636754983</v>
      </c>
      <c r="C9" s="453">
        <f>transport!C14</f>
        <v>0</v>
      </c>
      <c r="D9" s="453">
        <f>transport!D14</f>
        <v>2.4558080490843626</v>
      </c>
      <c r="E9" s="453">
        <f>transport!E14</f>
        <v>157.36020736190301</v>
      </c>
      <c r="F9" s="453">
        <f>transport!F14</f>
        <v>0</v>
      </c>
      <c r="G9" s="453">
        <f>transport!G14</f>
        <v>44526.535901130483</v>
      </c>
      <c r="H9" s="453">
        <f>transport!H14</f>
        <v>5925.4952287928691</v>
      </c>
      <c r="I9" s="453">
        <f>transport!I14</f>
        <v>0</v>
      </c>
      <c r="J9" s="453">
        <f>transport!J14</f>
        <v>0</v>
      </c>
      <c r="K9" s="453">
        <f>transport!K14</f>
        <v>0</v>
      </c>
      <c r="L9" s="453">
        <f>transport!L14</f>
        <v>0</v>
      </c>
      <c r="M9" s="453">
        <f>transport!M14</f>
        <v>2252.6559750807801</v>
      </c>
      <c r="N9" s="453">
        <f>transport!N14</f>
        <v>0</v>
      </c>
      <c r="O9" s="453">
        <f>transport!O14</f>
        <v>0</v>
      </c>
      <c r="P9" s="453">
        <f>transport!P14</f>
        <v>0</v>
      </c>
      <c r="Q9" s="452">
        <f>SUM(B9:P9)</f>
        <v>52866.53922305187</v>
      </c>
    </row>
    <row r="10" spans="1:17">
      <c r="A10" s="448" t="s">
        <v>558</v>
      </c>
      <c r="B10" s="449">
        <f>transport!B54</f>
        <v>3.1943749528037273</v>
      </c>
      <c r="C10" s="449">
        <f>transport!C54</f>
        <v>0</v>
      </c>
      <c r="D10" s="449">
        <f>transport!D54</f>
        <v>0</v>
      </c>
      <c r="E10" s="449">
        <f>transport!E54</f>
        <v>0</v>
      </c>
      <c r="F10" s="449">
        <f>transport!F54</f>
        <v>0</v>
      </c>
      <c r="G10" s="449">
        <f>transport!G54</f>
        <v>637.12438225566871</v>
      </c>
      <c r="H10" s="449">
        <f>transport!H54</f>
        <v>0</v>
      </c>
      <c r="I10" s="449">
        <f>transport!I54</f>
        <v>0</v>
      </c>
      <c r="J10" s="449">
        <f>transport!J54</f>
        <v>0</v>
      </c>
      <c r="K10" s="449">
        <f>transport!K54</f>
        <v>0</v>
      </c>
      <c r="L10" s="449">
        <f>transport!L54</f>
        <v>0</v>
      </c>
      <c r="M10" s="449">
        <f>transport!M54</f>
        <v>28.16021912014256</v>
      </c>
      <c r="N10" s="449">
        <f>transport!N54</f>
        <v>0</v>
      </c>
      <c r="O10" s="449">
        <f>transport!O54</f>
        <v>0</v>
      </c>
      <c r="P10" s="450">
        <f>transport!P54</f>
        <v>0</v>
      </c>
      <c r="Q10" s="448">
        <f t="shared" si="0"/>
        <v>668.47897632861498</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703.37407209331991</v>
      </c>
      <c r="C14" s="456"/>
      <c r="D14" s="456">
        <f>'SEAP template'!E25</f>
        <v>1981.68868101219</v>
      </c>
      <c r="E14" s="456"/>
      <c r="F14" s="456"/>
      <c r="G14" s="456"/>
      <c r="H14" s="456"/>
      <c r="I14" s="456"/>
      <c r="J14" s="456"/>
      <c r="K14" s="456"/>
      <c r="L14" s="456"/>
      <c r="M14" s="456"/>
      <c r="N14" s="456"/>
      <c r="O14" s="456"/>
      <c r="P14" s="457"/>
      <c r="Q14" s="448">
        <f t="shared" si="0"/>
        <v>2685.0627531055097</v>
      </c>
    </row>
    <row r="15" spans="1:17" s="461" customFormat="1">
      <c r="A15" s="458" t="s">
        <v>562</v>
      </c>
      <c r="B15" s="459">
        <f ca="1">SUM(B4:B14)</f>
        <v>54357.195903522668</v>
      </c>
      <c r="C15" s="459">
        <f t="shared" ref="C15:Q15" ca="1" si="1">SUM(C4:C14)</f>
        <v>18546.428571428572</v>
      </c>
      <c r="D15" s="459">
        <f t="shared" ca="1" si="1"/>
        <v>77627.806557709744</v>
      </c>
      <c r="E15" s="459">
        <f t="shared" si="1"/>
        <v>1334.5698887485828</v>
      </c>
      <c r="F15" s="459">
        <f t="shared" ca="1" si="1"/>
        <v>45200.0642166119</v>
      </c>
      <c r="G15" s="459">
        <f t="shared" si="1"/>
        <v>45163.660283386154</v>
      </c>
      <c r="H15" s="459">
        <f t="shared" si="1"/>
        <v>5925.4952287928691</v>
      </c>
      <c r="I15" s="459">
        <f t="shared" si="1"/>
        <v>0</v>
      </c>
      <c r="J15" s="459">
        <f t="shared" si="1"/>
        <v>966.53588028650722</v>
      </c>
      <c r="K15" s="459">
        <f t="shared" si="1"/>
        <v>0</v>
      </c>
      <c r="L15" s="459">
        <f t="shared" ca="1" si="1"/>
        <v>0</v>
      </c>
      <c r="M15" s="459">
        <f t="shared" si="1"/>
        <v>2280.8161942009228</v>
      </c>
      <c r="N15" s="459">
        <f t="shared" ca="1" si="1"/>
        <v>8354.5318562384509</v>
      </c>
      <c r="O15" s="459">
        <f t="shared" si="1"/>
        <v>50.026666666666671</v>
      </c>
      <c r="P15" s="459">
        <f t="shared" si="1"/>
        <v>133.46666666666667</v>
      </c>
      <c r="Q15" s="459">
        <f t="shared" ca="1" si="1"/>
        <v>259940.59791425968</v>
      </c>
    </row>
    <row r="17" spans="1:17">
      <c r="A17" s="462" t="s">
        <v>563</v>
      </c>
      <c r="B17" s="766">
        <f ca="1">huishoudens!B10</f>
        <v>0.21355060764504663</v>
      </c>
      <c r="C17" s="766">
        <f ca="1">huishoudens!C10</f>
        <v>0.23764705882352943</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3889.6603330138691</v>
      </c>
      <c r="C22" s="449">
        <f t="shared" ref="C22:C32" ca="1" si="3">C4*$C$17</f>
        <v>0</v>
      </c>
      <c r="D22" s="449">
        <f t="shared" ref="D22:D32" si="4">D4*$D$17</f>
        <v>8756.2316352026119</v>
      </c>
      <c r="E22" s="449">
        <f t="shared" ref="E22:E32" si="5">E4*$E$17</f>
        <v>197.53879280484617</v>
      </c>
      <c r="F22" s="449">
        <f t="shared" ref="F22:F32" si="6">F4*$F$17</f>
        <v>7083.5973678812579</v>
      </c>
      <c r="G22" s="449">
        <f t="shared" ref="G22:G32" si="7">G4*$G$17</f>
        <v>0</v>
      </c>
      <c r="H22" s="449">
        <f t="shared" ref="H22:H32" si="8">H4*$H$17</f>
        <v>0</v>
      </c>
      <c r="I22" s="449">
        <f t="shared" ref="I22:I32" si="9">I4*$I$17</f>
        <v>0</v>
      </c>
      <c r="J22" s="449">
        <f t="shared" ref="J22:J32" si="10">J4*$J$17</f>
        <v>170.40977423421521</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20097.437903136801</v>
      </c>
    </row>
    <row r="23" spans="1:17">
      <c r="A23" s="448" t="s">
        <v>155</v>
      </c>
      <c r="B23" s="449">
        <f t="shared" ca="1" si="2"/>
        <v>2664.3830335706848</v>
      </c>
      <c r="C23" s="449">
        <f t="shared" ca="1" si="3"/>
        <v>0</v>
      </c>
      <c r="D23" s="449">
        <f t="shared" ca="1" si="4"/>
        <v>2305.0078410939559</v>
      </c>
      <c r="E23" s="449">
        <f t="shared" si="5"/>
        <v>26.257105929868946</v>
      </c>
      <c r="F23" s="449">
        <f t="shared" ca="1" si="6"/>
        <v>734.30696714767714</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5729.954947742187</v>
      </c>
    </row>
    <row r="24" spans="1:17">
      <c r="A24" s="448" t="s">
        <v>193</v>
      </c>
      <c r="B24" s="449">
        <f t="shared" ca="1" si="2"/>
        <v>191.53845166081817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191.53845166081817</v>
      </c>
    </row>
    <row r="25" spans="1:17">
      <c r="A25" s="448" t="s">
        <v>111</v>
      </c>
      <c r="B25" s="449">
        <f t="shared" ca="1" si="2"/>
        <v>743.81343071178276</v>
      </c>
      <c r="C25" s="449">
        <f t="shared" ca="1" si="3"/>
        <v>4407.5042016806728</v>
      </c>
      <c r="D25" s="449">
        <f t="shared" si="4"/>
        <v>108.18075485323241</v>
      </c>
      <c r="E25" s="449">
        <f t="shared" si="5"/>
        <v>7.4485348427002238</v>
      </c>
      <c r="F25" s="449">
        <f t="shared" si="6"/>
        <v>3034.8393620353027</v>
      </c>
      <c r="G25" s="449">
        <f t="shared" si="7"/>
        <v>0</v>
      </c>
      <c r="H25" s="449">
        <f t="shared" si="8"/>
        <v>0</v>
      </c>
      <c r="I25" s="449">
        <f t="shared" si="9"/>
        <v>0</v>
      </c>
      <c r="J25" s="449">
        <f t="shared" si="10"/>
        <v>152.52928786649082</v>
      </c>
      <c r="K25" s="449">
        <f t="shared" si="11"/>
        <v>0</v>
      </c>
      <c r="L25" s="449">
        <f t="shared" si="12"/>
        <v>0</v>
      </c>
      <c r="M25" s="449">
        <f t="shared" si="13"/>
        <v>0</v>
      </c>
      <c r="N25" s="449">
        <f t="shared" si="14"/>
        <v>0</v>
      </c>
      <c r="O25" s="449">
        <f t="shared" si="15"/>
        <v>0</v>
      </c>
      <c r="P25" s="450">
        <f t="shared" si="16"/>
        <v>0</v>
      </c>
      <c r="Q25" s="448">
        <f t="shared" ca="1" si="17"/>
        <v>8454.3155719901824</v>
      </c>
    </row>
    <row r="26" spans="1:17">
      <c r="A26" s="448" t="s">
        <v>671</v>
      </c>
      <c r="B26" s="449">
        <f t="shared" ca="1" si="2"/>
        <v>3967.2940339561278</v>
      </c>
      <c r="C26" s="449">
        <f t="shared" ca="1" si="3"/>
        <v>0</v>
      </c>
      <c r="D26" s="449">
        <f t="shared" si="4"/>
        <v>4110.5995067171907</v>
      </c>
      <c r="E26" s="449">
        <f t="shared" si="5"/>
        <v>35.982164097360929</v>
      </c>
      <c r="F26" s="449">
        <f t="shared" si="6"/>
        <v>1215.6734487711401</v>
      </c>
      <c r="G26" s="449">
        <f t="shared" si="7"/>
        <v>0</v>
      </c>
      <c r="H26" s="449">
        <f t="shared" si="8"/>
        <v>0</v>
      </c>
      <c r="I26" s="449">
        <f t="shared" si="9"/>
        <v>0</v>
      </c>
      <c r="J26" s="449">
        <f t="shared" si="10"/>
        <v>19.214639520717487</v>
      </c>
      <c r="K26" s="449">
        <f t="shared" si="11"/>
        <v>0</v>
      </c>
      <c r="L26" s="449">
        <f t="shared" si="12"/>
        <v>0</v>
      </c>
      <c r="M26" s="449">
        <f t="shared" si="13"/>
        <v>0</v>
      </c>
      <c r="N26" s="449">
        <f t="shared" si="14"/>
        <v>0</v>
      </c>
      <c r="O26" s="449">
        <f t="shared" si="15"/>
        <v>0</v>
      </c>
      <c r="P26" s="450">
        <f t="shared" si="16"/>
        <v>0</v>
      </c>
      <c r="Q26" s="448">
        <f t="shared" ca="1" si="17"/>
        <v>9348.7637930625369</v>
      </c>
    </row>
    <row r="27" spans="1:17" s="454" customFormat="1">
      <c r="A27" s="452" t="s">
        <v>568</v>
      </c>
      <c r="B27" s="760">
        <f t="shared" ca="1" si="2"/>
        <v>0.43481095530670827</v>
      </c>
      <c r="C27" s="453">
        <f t="shared" ca="1" si="3"/>
        <v>0</v>
      </c>
      <c r="D27" s="453">
        <f t="shared" si="4"/>
        <v>0.49607322591504127</v>
      </c>
      <c r="E27" s="453">
        <f t="shared" si="5"/>
        <v>35.720767071151982</v>
      </c>
      <c r="F27" s="453">
        <f t="shared" si="6"/>
        <v>0</v>
      </c>
      <c r="G27" s="453">
        <f t="shared" si="7"/>
        <v>11888.585085601839</v>
      </c>
      <c r="H27" s="453">
        <f t="shared" si="8"/>
        <v>1475.4483119694244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13400.685048823638</v>
      </c>
    </row>
    <row r="28" spans="1:17">
      <c r="A28" s="448" t="s">
        <v>558</v>
      </c>
      <c r="B28" s="449">
        <f t="shared" ca="1" si="2"/>
        <v>0.68216071221735308</v>
      </c>
      <c r="C28" s="449">
        <f t="shared" ca="1" si="3"/>
        <v>0</v>
      </c>
      <c r="D28" s="449">
        <f t="shared" si="4"/>
        <v>0</v>
      </c>
      <c r="E28" s="449">
        <f t="shared" si="5"/>
        <v>0</v>
      </c>
      <c r="F28" s="449">
        <f t="shared" si="6"/>
        <v>0</v>
      </c>
      <c r="G28" s="449">
        <f t="shared" si="7"/>
        <v>170.11221006226356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170.79437077448091</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150.20596049729932</v>
      </c>
      <c r="C32" s="449">
        <f t="shared" ca="1" si="3"/>
        <v>0</v>
      </c>
      <c r="D32" s="449">
        <f t="shared" si="4"/>
        <v>400.30111356446241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550.50707406176173</v>
      </c>
    </row>
    <row r="33" spans="1:17" s="461" customFormat="1">
      <c r="A33" s="458" t="s">
        <v>562</v>
      </c>
      <c r="B33" s="459">
        <f ca="1">SUM(B22:B32)</f>
        <v>11608.012215078106</v>
      </c>
      <c r="C33" s="459">
        <f t="shared" ref="C33:Q33" ca="1" si="18">SUM(C22:C32)</f>
        <v>4407.5042016806728</v>
      </c>
      <c r="D33" s="459">
        <f t="shared" ca="1" si="18"/>
        <v>15680.816924657369</v>
      </c>
      <c r="E33" s="459">
        <f t="shared" si="18"/>
        <v>302.94736474592821</v>
      </c>
      <c r="F33" s="459">
        <f t="shared" ca="1" si="18"/>
        <v>12068.417145835378</v>
      </c>
      <c r="G33" s="459">
        <f t="shared" si="18"/>
        <v>12058.697295664102</v>
      </c>
      <c r="H33" s="459">
        <f t="shared" si="18"/>
        <v>1475.4483119694244</v>
      </c>
      <c r="I33" s="459">
        <f t="shared" si="18"/>
        <v>0</v>
      </c>
      <c r="J33" s="459">
        <f t="shared" si="18"/>
        <v>342.15370162142347</v>
      </c>
      <c r="K33" s="459">
        <f t="shared" si="18"/>
        <v>0</v>
      </c>
      <c r="L33" s="459">
        <f t="shared" ca="1" si="18"/>
        <v>0</v>
      </c>
      <c r="M33" s="459">
        <f t="shared" si="18"/>
        <v>0</v>
      </c>
      <c r="N33" s="459">
        <f t="shared" ca="1" si="18"/>
        <v>0</v>
      </c>
      <c r="O33" s="459">
        <f t="shared" si="18"/>
        <v>0</v>
      </c>
      <c r="P33" s="459">
        <f t="shared" si="18"/>
        <v>0</v>
      </c>
      <c r="Q33" s="459">
        <f t="shared" ca="1" si="18"/>
        <v>57943.997161252395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2810.1743021578077</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12982.5</v>
      </c>
      <c r="D8" s="1015">
        <f>'SEAP template'!D76</f>
        <v>15273.529411764706</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3085.2529411764708</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2810.1743021578077</v>
      </c>
      <c r="C10" s="1019">
        <f>SUM(C4:C9)</f>
        <v>12982.5</v>
      </c>
      <c r="D10" s="1019">
        <f t="shared" ref="D10:H10" si="0">SUM(D8:D9)</f>
        <v>15273.529411764706</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3085.2529411764708</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0.21355060764504663</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18546.428571428572</v>
      </c>
      <c r="D17" s="1016">
        <f>'SEAP template'!D87</f>
        <v>21819.327731092439</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4407.5042016806728</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18546.428571428572</v>
      </c>
      <c r="D20" s="1019">
        <f t="shared" ref="D20:H20" si="2">SUM(D17:D19)</f>
        <v>21819.327731092439</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4407.5042016806728</v>
      </c>
    </row>
    <row r="22" spans="1:16">
      <c r="A22" s="462" t="s">
        <v>899</v>
      </c>
      <c r="B22" s="766" t="s">
        <v>893</v>
      </c>
      <c r="C22" s="766">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0.21355060764504663</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0.21355060764504663</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0.21355060764504663</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4380</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761</v>
      </c>
      <c r="C14" s="327"/>
      <c r="D14" s="327"/>
      <c r="E14" s="327"/>
      <c r="F14" s="327"/>
    </row>
    <row r="15" spans="1:6">
      <c r="A15" s="1295" t="s">
        <v>183</v>
      </c>
      <c r="B15" s="1296">
        <v>777</v>
      </c>
      <c r="C15" s="327"/>
      <c r="D15" s="327"/>
      <c r="E15" s="327"/>
      <c r="F15" s="327"/>
    </row>
    <row r="16" spans="1:6">
      <c r="A16" s="1295" t="s">
        <v>6</v>
      </c>
      <c r="B16" s="1296">
        <v>105</v>
      </c>
      <c r="C16" s="327"/>
      <c r="D16" s="327"/>
      <c r="E16" s="327"/>
      <c r="F16" s="327"/>
    </row>
    <row r="17" spans="1:6">
      <c r="A17" s="1295" t="s">
        <v>7</v>
      </c>
      <c r="B17" s="1296">
        <v>92</v>
      </c>
      <c r="C17" s="327"/>
      <c r="D17" s="327"/>
      <c r="E17" s="327"/>
      <c r="F17" s="327"/>
    </row>
    <row r="18" spans="1:6">
      <c r="A18" s="1295" t="s">
        <v>8</v>
      </c>
      <c r="B18" s="1296">
        <v>192</v>
      </c>
      <c r="C18" s="327"/>
      <c r="D18" s="327"/>
      <c r="E18" s="327"/>
      <c r="F18" s="327"/>
    </row>
    <row r="19" spans="1:6">
      <c r="A19" s="1295" t="s">
        <v>9</v>
      </c>
      <c r="B19" s="1296">
        <v>114</v>
      </c>
      <c r="C19" s="327"/>
      <c r="D19" s="327"/>
      <c r="E19" s="327"/>
      <c r="F19" s="327"/>
    </row>
    <row r="20" spans="1:6">
      <c r="A20" s="1295" t="s">
        <v>10</v>
      </c>
      <c r="B20" s="1296">
        <v>150</v>
      </c>
      <c r="C20" s="327"/>
      <c r="D20" s="327"/>
      <c r="E20" s="327"/>
      <c r="F20" s="327"/>
    </row>
    <row r="21" spans="1:6">
      <c r="A21" s="1295" t="s">
        <v>11</v>
      </c>
      <c r="B21" s="1296">
        <v>1083</v>
      </c>
      <c r="C21" s="327"/>
      <c r="D21" s="327"/>
      <c r="E21" s="327"/>
      <c r="F21" s="327"/>
    </row>
    <row r="22" spans="1:6">
      <c r="A22" s="1295" t="s">
        <v>12</v>
      </c>
      <c r="B22" s="1296">
        <v>8322</v>
      </c>
      <c r="C22" s="327"/>
      <c r="D22" s="327"/>
      <c r="E22" s="327"/>
      <c r="F22" s="327"/>
    </row>
    <row r="23" spans="1:6">
      <c r="A23" s="1295" t="s">
        <v>13</v>
      </c>
      <c r="B23" s="1296">
        <v>34</v>
      </c>
      <c r="C23" s="327"/>
      <c r="D23" s="327"/>
      <c r="E23" s="327"/>
      <c r="F23" s="327"/>
    </row>
    <row r="24" spans="1:6">
      <c r="A24" s="1295" t="s">
        <v>14</v>
      </c>
      <c r="B24" s="1296">
        <v>3</v>
      </c>
      <c r="C24" s="327"/>
      <c r="D24" s="327"/>
      <c r="E24" s="327"/>
      <c r="F24" s="327"/>
    </row>
    <row r="25" spans="1:6">
      <c r="A25" s="1295" t="s">
        <v>15</v>
      </c>
      <c r="B25" s="1296">
        <v>301</v>
      </c>
      <c r="C25" s="327"/>
      <c r="D25" s="327"/>
      <c r="E25" s="327"/>
      <c r="F25" s="327"/>
    </row>
    <row r="26" spans="1:6">
      <c r="A26" s="1295" t="s">
        <v>16</v>
      </c>
      <c r="B26" s="1296">
        <v>25</v>
      </c>
      <c r="C26" s="327"/>
      <c r="D26" s="327"/>
      <c r="E26" s="327"/>
      <c r="F26" s="327"/>
    </row>
    <row r="27" spans="1:6">
      <c r="A27" s="1295" t="s">
        <v>17</v>
      </c>
      <c r="B27" s="1296">
        <v>0</v>
      </c>
      <c r="C27" s="327"/>
      <c r="D27" s="327"/>
      <c r="E27" s="327"/>
      <c r="F27" s="327"/>
    </row>
    <row r="28" spans="1:6" s="44" customFormat="1">
      <c r="A28" s="1297" t="s">
        <v>18</v>
      </c>
      <c r="B28" s="1298">
        <v>63383</v>
      </c>
      <c r="C28" s="333"/>
      <c r="D28" s="333"/>
      <c r="E28" s="333"/>
      <c r="F28" s="333"/>
    </row>
    <row r="29" spans="1:6">
      <c r="A29" s="1297" t="s">
        <v>961</v>
      </c>
      <c r="B29" s="1298">
        <v>88</v>
      </c>
      <c r="C29" s="333"/>
      <c r="D29" s="333"/>
      <c r="E29" s="333"/>
      <c r="F29" s="333"/>
    </row>
    <row r="30" spans="1:6">
      <c r="A30" s="1290" t="s">
        <v>962</v>
      </c>
      <c r="B30" s="1299">
        <v>5</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1</v>
      </c>
      <c r="D38" s="1296">
        <v>0</v>
      </c>
      <c r="E38" s="1296">
        <v>5</v>
      </c>
      <c r="F38" s="1296">
        <v>278265.02289343101</v>
      </c>
    </row>
    <row r="39" spans="1:6">
      <c r="A39" s="1295" t="s">
        <v>29</v>
      </c>
      <c r="B39" s="1295" t="s">
        <v>30</v>
      </c>
      <c r="C39" s="1296">
        <v>2842</v>
      </c>
      <c r="D39" s="1296">
        <v>48057296.410631001</v>
      </c>
      <c r="E39" s="1296">
        <v>4148</v>
      </c>
      <c r="F39" s="1296">
        <v>16393489.3287383</v>
      </c>
    </row>
    <row r="40" spans="1:6">
      <c r="A40" s="1295" t="s">
        <v>29</v>
      </c>
      <c r="B40" s="1295" t="s">
        <v>28</v>
      </c>
      <c r="C40" s="1296">
        <v>0</v>
      </c>
      <c r="D40" s="1296">
        <v>0</v>
      </c>
      <c r="E40" s="1296">
        <v>0</v>
      </c>
      <c r="F40" s="1296">
        <v>0</v>
      </c>
    </row>
    <row r="41" spans="1:6">
      <c r="A41" s="1295" t="s">
        <v>31</v>
      </c>
      <c r="B41" s="1295" t="s">
        <v>32</v>
      </c>
      <c r="C41" s="1296">
        <v>73</v>
      </c>
      <c r="D41" s="1296">
        <v>2082634.02355231</v>
      </c>
      <c r="E41" s="1296">
        <v>168</v>
      </c>
      <c r="F41" s="1296">
        <v>2582492.7071564002</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25</v>
      </c>
      <c r="F44" s="1296">
        <v>553357.81394045497</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40</v>
      </c>
      <c r="D48" s="1296">
        <v>20240833.498752799</v>
      </c>
      <c r="E48" s="1296">
        <v>40</v>
      </c>
      <c r="F48" s="1296">
        <v>8936045.2614033595</v>
      </c>
    </row>
    <row r="49" spans="1:6">
      <c r="A49" s="1295" t="s">
        <v>31</v>
      </c>
      <c r="B49" s="1295" t="s">
        <v>39</v>
      </c>
      <c r="C49" s="1296">
        <v>0</v>
      </c>
      <c r="D49" s="1296">
        <v>0</v>
      </c>
      <c r="E49" s="1296">
        <v>22</v>
      </c>
      <c r="F49" s="1296">
        <v>725531.02454910695</v>
      </c>
    </row>
    <row r="50" spans="1:6">
      <c r="A50" s="1295" t="s">
        <v>31</v>
      </c>
      <c r="B50" s="1295" t="s">
        <v>40</v>
      </c>
      <c r="C50" s="1296">
        <v>3</v>
      </c>
      <c r="D50" s="1296">
        <v>236956.54476910899</v>
      </c>
      <c r="E50" s="1296">
        <v>14</v>
      </c>
      <c r="F50" s="1296">
        <v>5780343.0139121301</v>
      </c>
    </row>
    <row r="51" spans="1:6">
      <c r="A51" s="1295" t="s">
        <v>41</v>
      </c>
      <c r="B51" s="1295" t="s">
        <v>42</v>
      </c>
      <c r="C51" s="1296">
        <v>14</v>
      </c>
      <c r="D51" s="1296">
        <v>41695137.2887756</v>
      </c>
      <c r="E51" s="1296">
        <v>67</v>
      </c>
      <c r="F51" s="1296">
        <v>3021620.1453956198</v>
      </c>
    </row>
    <row r="52" spans="1:6">
      <c r="A52" s="1295" t="s">
        <v>41</v>
      </c>
      <c r="B52" s="1295" t="s">
        <v>28</v>
      </c>
      <c r="C52" s="1296">
        <v>1</v>
      </c>
      <c r="D52" s="1296">
        <v>21498.4475988755</v>
      </c>
      <c r="E52" s="1296">
        <v>10</v>
      </c>
      <c r="F52" s="1296">
        <v>461457.88896011998</v>
      </c>
    </row>
    <row r="53" spans="1:6">
      <c r="A53" s="1295" t="s">
        <v>43</v>
      </c>
      <c r="B53" s="1295" t="s">
        <v>44</v>
      </c>
      <c r="C53" s="1296">
        <v>77</v>
      </c>
      <c r="D53" s="1296">
        <v>1981688.6810121899</v>
      </c>
      <c r="E53" s="1296">
        <v>116</v>
      </c>
      <c r="F53" s="1296">
        <v>703374.07209331996</v>
      </c>
    </row>
    <row r="54" spans="1:6">
      <c r="A54" s="1295" t="s">
        <v>45</v>
      </c>
      <c r="B54" s="1295" t="s">
        <v>46</v>
      </c>
      <c r="C54" s="1296">
        <v>0</v>
      </c>
      <c r="D54" s="1296">
        <v>0</v>
      </c>
      <c r="E54" s="1296">
        <v>1</v>
      </c>
      <c r="F54" s="1296">
        <v>896923</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21</v>
      </c>
      <c r="D57" s="1296">
        <v>618792.250763688</v>
      </c>
      <c r="E57" s="1296">
        <v>43</v>
      </c>
      <c r="F57" s="1296">
        <v>2377656.5105342399</v>
      </c>
    </row>
    <row r="58" spans="1:6">
      <c r="A58" s="1295" t="s">
        <v>48</v>
      </c>
      <c r="B58" s="1295" t="s">
        <v>50</v>
      </c>
      <c r="C58" s="1296">
        <v>10</v>
      </c>
      <c r="D58" s="1296">
        <v>2507531.2038047099</v>
      </c>
      <c r="E58" s="1296">
        <v>14</v>
      </c>
      <c r="F58" s="1296">
        <v>759193.348586031</v>
      </c>
    </row>
    <row r="59" spans="1:6">
      <c r="A59" s="1295" t="s">
        <v>48</v>
      </c>
      <c r="B59" s="1295" t="s">
        <v>51</v>
      </c>
      <c r="C59" s="1296">
        <v>42</v>
      </c>
      <c r="D59" s="1296">
        <v>1987364.0951762199</v>
      </c>
      <c r="E59" s="1296">
        <v>128</v>
      </c>
      <c r="F59" s="1296">
        <v>4377421.77725768</v>
      </c>
    </row>
    <row r="60" spans="1:6">
      <c r="A60" s="1295" t="s">
        <v>48</v>
      </c>
      <c r="B60" s="1295" t="s">
        <v>52</v>
      </c>
      <c r="C60" s="1296">
        <v>25</v>
      </c>
      <c r="D60" s="1296">
        <v>1109787.3087976</v>
      </c>
      <c r="E60" s="1296">
        <v>44</v>
      </c>
      <c r="F60" s="1296">
        <v>959051.79335358494</v>
      </c>
    </row>
    <row r="61" spans="1:6">
      <c r="A61" s="1295" t="s">
        <v>48</v>
      </c>
      <c r="B61" s="1295" t="s">
        <v>53</v>
      </c>
      <c r="C61" s="1296">
        <v>53</v>
      </c>
      <c r="D61" s="1296">
        <v>2828358.3707191902</v>
      </c>
      <c r="E61" s="1296">
        <v>150</v>
      </c>
      <c r="F61" s="1296">
        <v>1668398.11613952</v>
      </c>
    </row>
    <row r="62" spans="1:6">
      <c r="A62" s="1295" t="s">
        <v>48</v>
      </c>
      <c r="B62" s="1295" t="s">
        <v>54</v>
      </c>
      <c r="C62" s="1296">
        <v>7</v>
      </c>
      <c r="D62" s="1296">
        <v>627396.21233383298</v>
      </c>
      <c r="E62" s="1296">
        <v>10</v>
      </c>
      <c r="F62" s="1296">
        <v>98072.561011960395</v>
      </c>
    </row>
    <row r="63" spans="1:6">
      <c r="A63" s="1295" t="s">
        <v>48</v>
      </c>
      <c r="B63" s="1295" t="s">
        <v>28</v>
      </c>
      <c r="C63" s="1296">
        <v>84</v>
      </c>
      <c r="D63" s="1296">
        <v>2971468.90253527</v>
      </c>
      <c r="E63" s="1296">
        <v>98</v>
      </c>
      <c r="F63" s="1296">
        <v>2236794.2903707698</v>
      </c>
    </row>
    <row r="64" spans="1:6">
      <c r="A64" s="1295" t="s">
        <v>55</v>
      </c>
      <c r="B64" s="1295" t="s">
        <v>56</v>
      </c>
      <c r="C64" s="1296">
        <v>0</v>
      </c>
      <c r="D64" s="1296">
        <v>0</v>
      </c>
      <c r="E64" s="1296">
        <v>0</v>
      </c>
      <c r="F64" s="1296">
        <v>0</v>
      </c>
    </row>
    <row r="65" spans="1:6">
      <c r="A65" s="1295" t="s">
        <v>55</v>
      </c>
      <c r="B65" s="1295" t="s">
        <v>28</v>
      </c>
      <c r="C65" s="1296">
        <v>1</v>
      </c>
      <c r="D65" s="1296">
        <v>20544.701266599299</v>
      </c>
      <c r="E65" s="1296">
        <v>4</v>
      </c>
      <c r="F65" s="1296">
        <v>31147.108246911601</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3</v>
      </c>
      <c r="D68" s="1299">
        <v>242607.292601825</v>
      </c>
      <c r="E68" s="1299">
        <v>7</v>
      </c>
      <c r="F68" s="1299">
        <v>106969.154524389</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41364337</v>
      </c>
      <c r="E73" s="447"/>
      <c r="F73" s="327"/>
    </row>
    <row r="74" spans="1:6">
      <c r="A74" s="1295" t="s">
        <v>63</v>
      </c>
      <c r="B74" s="1295" t="s">
        <v>755</v>
      </c>
      <c r="C74" s="1309" t="s">
        <v>749</v>
      </c>
      <c r="D74" s="1310">
        <v>6670821.1384616857</v>
      </c>
      <c r="E74" s="447"/>
      <c r="F74" s="327"/>
    </row>
    <row r="75" spans="1:6">
      <c r="A75" s="1295" t="s">
        <v>64</v>
      </c>
      <c r="B75" s="1295" t="s">
        <v>754</v>
      </c>
      <c r="C75" s="1309" t="s">
        <v>750</v>
      </c>
      <c r="D75" s="1310">
        <v>7447789</v>
      </c>
      <c r="E75" s="447"/>
      <c r="F75" s="327"/>
    </row>
    <row r="76" spans="1:6">
      <c r="A76" s="1295" t="s">
        <v>64</v>
      </c>
      <c r="B76" s="1295" t="s">
        <v>755</v>
      </c>
      <c r="C76" s="1309" t="s">
        <v>751</v>
      </c>
      <c r="D76" s="1310">
        <v>683360.13846168562</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175987.72307662867</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1820.7427725305138</v>
      </c>
      <c r="C91" s="327"/>
      <c r="D91" s="327"/>
      <c r="E91" s="327"/>
      <c r="F91" s="327"/>
    </row>
    <row r="92" spans="1:6">
      <c r="A92" s="1290" t="s">
        <v>68</v>
      </c>
      <c r="B92" s="1291">
        <v>989.4315296272938</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2052</v>
      </c>
      <c r="C97" s="327"/>
      <c r="D97" s="327"/>
      <c r="E97" s="327"/>
      <c r="F97" s="327"/>
    </row>
    <row r="98" spans="1:6">
      <c r="A98" s="1295" t="s">
        <v>71</v>
      </c>
      <c r="B98" s="1296">
        <v>2</v>
      </c>
      <c r="C98" s="327"/>
      <c r="D98" s="327"/>
      <c r="E98" s="327"/>
      <c r="F98" s="327"/>
    </row>
    <row r="99" spans="1:6">
      <c r="A99" s="1295" t="s">
        <v>72</v>
      </c>
      <c r="B99" s="1296">
        <v>59</v>
      </c>
      <c r="C99" s="327"/>
      <c r="D99" s="327"/>
      <c r="E99" s="327"/>
      <c r="F99" s="327"/>
    </row>
    <row r="100" spans="1:6">
      <c r="A100" s="1295" t="s">
        <v>73</v>
      </c>
      <c r="B100" s="1296">
        <v>288</v>
      </c>
      <c r="C100" s="327"/>
      <c r="D100" s="327"/>
      <c r="E100" s="327"/>
      <c r="F100" s="327"/>
    </row>
    <row r="101" spans="1:6">
      <c r="A101" s="1295" t="s">
        <v>74</v>
      </c>
      <c r="B101" s="1296">
        <v>90</v>
      </c>
      <c r="C101" s="327"/>
      <c r="D101" s="327"/>
      <c r="E101" s="327"/>
      <c r="F101" s="327"/>
    </row>
    <row r="102" spans="1:6">
      <c r="A102" s="1295" t="s">
        <v>75</v>
      </c>
      <c r="B102" s="1296">
        <v>91</v>
      </c>
      <c r="C102" s="327"/>
      <c r="D102" s="327"/>
      <c r="E102" s="327"/>
      <c r="F102" s="327"/>
    </row>
    <row r="103" spans="1:6">
      <c r="A103" s="1295" t="s">
        <v>76</v>
      </c>
      <c r="B103" s="1296">
        <v>141</v>
      </c>
      <c r="C103" s="327"/>
      <c r="D103" s="327"/>
      <c r="E103" s="327"/>
      <c r="F103" s="327"/>
    </row>
    <row r="104" spans="1:6">
      <c r="A104" s="1295" t="s">
        <v>77</v>
      </c>
      <c r="B104" s="1296">
        <v>1324</v>
      </c>
      <c r="C104" s="327"/>
      <c r="D104" s="327"/>
      <c r="E104" s="327"/>
      <c r="F104" s="327"/>
    </row>
    <row r="105" spans="1:6">
      <c r="A105" s="1290" t="s">
        <v>78</v>
      </c>
      <c r="B105" s="1299">
        <v>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4</v>
      </c>
      <c r="C123" s="1296">
        <v>6</v>
      </c>
      <c r="D123" s="327"/>
      <c r="E123" s="327"/>
      <c r="F123" s="327"/>
    </row>
    <row r="124" spans="1:6" s="44" customFormat="1">
      <c r="A124" s="1297" t="s">
        <v>88</v>
      </c>
      <c r="B124" s="1318">
        <v>1</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25</v>
      </c>
      <c r="C129" s="327"/>
      <c r="D129" s="327"/>
      <c r="E129" s="327"/>
      <c r="F129" s="327"/>
    </row>
    <row r="130" spans="1:6">
      <c r="A130" s="1295" t="s">
        <v>290</v>
      </c>
      <c r="B130" s="1296">
        <v>1</v>
      </c>
      <c r="C130" s="327"/>
      <c r="D130" s="327"/>
      <c r="E130" s="327"/>
      <c r="F130" s="327"/>
    </row>
    <row r="131" spans="1:6">
      <c r="A131" s="1295" t="s">
        <v>291</v>
      </c>
      <c r="B131" s="1296">
        <v>0</v>
      </c>
      <c r="C131" s="327"/>
      <c r="D131" s="327"/>
      <c r="E131" s="327"/>
      <c r="F131" s="327"/>
    </row>
    <row r="132" spans="1:6">
      <c r="A132" s="1290" t="s">
        <v>292</v>
      </c>
      <c r="B132" s="1291">
        <v>2</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54357.195903522676</v>
      </c>
      <c r="C3" s="44" t="s">
        <v>169</v>
      </c>
      <c r="D3" s="44"/>
      <c r="E3" s="157"/>
      <c r="F3" s="44"/>
      <c r="G3" s="44"/>
      <c r="H3" s="44"/>
      <c r="I3" s="44"/>
      <c r="J3" s="44"/>
      <c r="K3" s="97"/>
    </row>
    <row r="4" spans="1:11">
      <c r="A4" s="354" t="s">
        <v>170</v>
      </c>
      <c r="B4" s="50">
        <f>IF(ISERROR('SEAP template'!B78+'SEAP template'!C78),0,'SEAP template'!B78+'SEAP template'!C78)</f>
        <v>15792.674302157808</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3085.2529411764708</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0.21355060764504663</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4407.5042016806728</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18546.428571428572</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0.23764705882352943</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896.923</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896.923</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0.21355060764504663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191.53845166081817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16393.489328738298</v>
      </c>
      <c r="C5" s="18">
        <f>IF(ISERROR('Eigen informatie GS &amp; warmtenet'!B57),0,'Eigen informatie GS &amp; warmtenet'!B57)</f>
        <v>0</v>
      </c>
      <c r="D5" s="31">
        <f>(SUM(HH_hh_gas_kWh,HH_rest_gas_kWh)/1000)*0.902</f>
        <v>43347.681362389165</v>
      </c>
      <c r="E5" s="18">
        <f>B32*B41</f>
        <v>870.21494627685536</v>
      </c>
      <c r="F5" s="18">
        <f>B36*B45</f>
        <v>26530.327220529056</v>
      </c>
      <c r="G5" s="19"/>
      <c r="H5" s="18"/>
      <c r="I5" s="18"/>
      <c r="J5" s="18">
        <f>B35*B44+C35*C44</f>
        <v>481.38354303450626</v>
      </c>
      <c r="K5" s="18"/>
      <c r="L5" s="18"/>
      <c r="M5" s="18"/>
      <c r="N5" s="18">
        <f>B34*B43+C34*C43</f>
        <v>6241.753128753734</v>
      </c>
      <c r="O5" s="18">
        <f>B52*B53*B54</f>
        <v>48.463333333333338</v>
      </c>
      <c r="P5" s="18">
        <f>B60*B61*B62/1000-B60*B61*B62/1000/B63</f>
        <v>133.46666666666667</v>
      </c>
    </row>
    <row r="6" spans="1:16">
      <c r="A6" s="17" t="s">
        <v>628</v>
      </c>
      <c r="B6" s="768">
        <f>kWh_PV_kleiner_dan_10kW</f>
        <v>1820.7427725305138</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18214.232101268812</v>
      </c>
      <c r="C8" s="22">
        <f>C5</f>
        <v>0</v>
      </c>
      <c r="D8" s="22">
        <f>D5</f>
        <v>43347.681362389165</v>
      </c>
      <c r="E8" s="22">
        <f>E5</f>
        <v>870.21494627685536</v>
      </c>
      <c r="F8" s="22">
        <f>F5</f>
        <v>26530.327220529056</v>
      </c>
      <c r="G8" s="22"/>
      <c r="H8" s="22"/>
      <c r="I8" s="22"/>
      <c r="J8" s="22">
        <f>J5</f>
        <v>481.38354303450626</v>
      </c>
      <c r="K8" s="22"/>
      <c r="L8" s="22">
        <f>L5</f>
        <v>0</v>
      </c>
      <c r="M8" s="22">
        <f>M5</f>
        <v>0</v>
      </c>
      <c r="N8" s="22">
        <f>N5</f>
        <v>6241.753128753734</v>
      </c>
      <c r="O8" s="22">
        <f>O5</f>
        <v>48.463333333333338</v>
      </c>
      <c r="P8" s="22">
        <f>P5</f>
        <v>133.46666666666667</v>
      </c>
    </row>
    <row r="9" spans="1:16">
      <c r="B9" s="20"/>
      <c r="C9" s="20"/>
      <c r="D9" s="258"/>
      <c r="E9" s="20"/>
      <c r="F9" s="20"/>
      <c r="G9" s="20"/>
      <c r="H9" s="20"/>
      <c r="I9" s="20"/>
      <c r="J9" s="20"/>
      <c r="K9" s="20"/>
      <c r="L9" s="20"/>
      <c r="M9" s="20"/>
      <c r="N9" s="20"/>
      <c r="O9" s="20"/>
      <c r="P9" s="20"/>
    </row>
    <row r="10" spans="1:16">
      <c r="A10" s="25" t="s">
        <v>213</v>
      </c>
      <c r="B10" s="26">
        <f ca="1">'EF ele_warmte'!B12</f>
        <v>0.21355060764504663</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3889.6603330138691</v>
      </c>
      <c r="C12" s="24">
        <f ca="1">C10*C8</f>
        <v>0</v>
      </c>
      <c r="D12" s="24">
        <f>D8*D10</f>
        <v>8756.2316352026119</v>
      </c>
      <c r="E12" s="24">
        <f>E10*E8</f>
        <v>197.53879280484617</v>
      </c>
      <c r="F12" s="24">
        <f>F10*F8</f>
        <v>7083.5973678812579</v>
      </c>
      <c r="G12" s="24"/>
      <c r="H12" s="24"/>
      <c r="I12" s="24"/>
      <c r="J12" s="24">
        <f>J10*J8</f>
        <v>170.40977423421521</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4380</v>
      </c>
      <c r="C26" s="37"/>
      <c r="D26" s="228"/>
    </row>
    <row r="27" spans="1:5" s="16" customFormat="1">
      <c r="A27" s="230" t="s">
        <v>654</v>
      </c>
      <c r="B27" s="38">
        <f>SUM(HH_hh_gas_aantal,HH_rest_gas_aantal)</f>
        <v>2842</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2699.9</v>
      </c>
      <c r="C31" s="35" t="s">
        <v>110</v>
      </c>
      <c r="D31" s="174"/>
    </row>
    <row r="32" spans="1:5">
      <c r="A32" s="171" t="s">
        <v>72</v>
      </c>
      <c r="B32" s="34">
        <f>IF((B21*($B$26-($B$27-0.05*$B$27)-$B$60))&lt;0,0,B21*($B$26-($B$27-0.05*$B$27)-$B$60))</f>
        <v>41.116985573937754</v>
      </c>
      <c r="C32" s="35" t="s">
        <v>110</v>
      </c>
      <c r="D32" s="174"/>
    </row>
    <row r="33" spans="1:6">
      <c r="A33" s="171" t="s">
        <v>73</v>
      </c>
      <c r="B33" s="34">
        <f>IF((B22*($B$26-($B$27-0.05*$B$27)-$B$60))&lt;0,0,B22*($B$26-($B$27-0.05*$B$27)-$B$60))</f>
        <v>276.765536537657</v>
      </c>
      <c r="C33" s="35" t="s">
        <v>110</v>
      </c>
      <c r="D33" s="174"/>
    </row>
    <row r="34" spans="1:6">
      <c r="A34" s="171" t="s">
        <v>74</v>
      </c>
      <c r="B34" s="34">
        <f>IF((B24*($B$26-($B$27-0.05*$B$27)-$B$60))&lt;0,0,B24*($B$26-($B$27-0.05*$B$27)-$B$60))</f>
        <v>70.193573754867202</v>
      </c>
      <c r="C34" s="34">
        <f>B26*C24</f>
        <v>895.72019519053651</v>
      </c>
      <c r="D34" s="233"/>
    </row>
    <row r="35" spans="1:6">
      <c r="A35" s="171" t="s">
        <v>76</v>
      </c>
      <c r="B35" s="34">
        <f>IF((B19*($B$26-($B$27-0.05*$B$27)-$B$60))&lt;0,0,B19*($B$26-($B$27-0.05*$B$27)-$B$60))</f>
        <v>26.09574938329445</v>
      </c>
      <c r="C35" s="34">
        <f>B35/2</f>
        <v>13.047874691647225</v>
      </c>
      <c r="D35" s="233"/>
    </row>
    <row r="36" spans="1:6">
      <c r="A36" s="171" t="s">
        <v>77</v>
      </c>
      <c r="B36" s="34">
        <f>IF((B18*($B$26-($B$27-0.05*$B$27)-$B$60))&lt;0,0,B18*($B$26-($B$27-0.05*$B$27)-$B$60))</f>
        <v>1258.928154750243</v>
      </c>
      <c r="C36" s="35" t="s">
        <v>110</v>
      </c>
      <c r="D36" s="174"/>
    </row>
    <row r="37" spans="1:6">
      <c r="A37" s="171" t="s">
        <v>78</v>
      </c>
      <c r="B37" s="34">
        <f>B60</f>
        <v>7</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31</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7</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12476.588397253787</v>
      </c>
      <c r="C5" s="18">
        <f>IF(ISERROR('Eigen informatie GS &amp; warmtenet'!B58),0,'Eigen informatie GS &amp; warmtenet'!B58)</f>
        <v>0</v>
      </c>
      <c r="D5" s="31">
        <f>SUM(D6:D12)</f>
        <v>11410.929906405721</v>
      </c>
      <c r="E5" s="18">
        <f>SUM(E6:E12)</f>
        <v>115.67007017563412</v>
      </c>
      <c r="F5" s="18">
        <f>SUM(F6:F12)</f>
        <v>2750.2133601036594</v>
      </c>
      <c r="G5" s="19"/>
      <c r="H5" s="18"/>
      <c r="I5" s="18"/>
      <c r="J5" s="18">
        <f>SUM(J6:J12)</f>
        <v>0</v>
      </c>
      <c r="K5" s="18"/>
      <c r="L5" s="18"/>
      <c r="M5" s="18"/>
      <c r="N5" s="18">
        <f>SUM(N6:N12)</f>
        <v>1547.782156184812</v>
      </c>
      <c r="O5" s="18">
        <f>B38*B39*B40</f>
        <v>1.5633333333333335</v>
      </c>
      <c r="P5" s="18">
        <f>B46*B47*B48/1000-B46*B47*B48/1000/B49</f>
        <v>0</v>
      </c>
      <c r="R5" s="33"/>
    </row>
    <row r="6" spans="1:18">
      <c r="A6" s="33" t="s">
        <v>53</v>
      </c>
      <c r="B6" s="38">
        <f>B26</f>
        <v>1668.39811613952</v>
      </c>
      <c r="C6" s="34"/>
      <c r="D6" s="38">
        <f>IF(ISERROR(TER_kantoor_gas_kWh/1000),0,TER_kantoor_gas_kWh/1000)*0.902</f>
        <v>2551.1792503887095</v>
      </c>
      <c r="E6" s="34">
        <f>$C$26*'E Balans VL '!I12/100/3.6*1000000</f>
        <v>2.7381794525895766</v>
      </c>
      <c r="F6" s="34">
        <f>$C$26*('E Balans VL '!L12+'E Balans VL '!N12)/100/3.6*1000000</f>
        <v>196.66488261691651</v>
      </c>
      <c r="G6" s="35"/>
      <c r="H6" s="34"/>
      <c r="I6" s="34"/>
      <c r="J6" s="34">
        <f>$C$26*('E Balans VL '!D12+'E Balans VL '!E12)/100/3.6*1000000</f>
        <v>0</v>
      </c>
      <c r="K6" s="34"/>
      <c r="L6" s="34"/>
      <c r="M6" s="34"/>
      <c r="N6" s="34">
        <f>$C$26*'E Balans VL '!Y12/100/3.6*1000000</f>
        <v>0.33709193885411576</v>
      </c>
      <c r="O6" s="34"/>
      <c r="P6" s="34"/>
      <c r="R6" s="33"/>
    </row>
    <row r="7" spans="1:18">
      <c r="A7" s="33" t="s">
        <v>52</v>
      </c>
      <c r="B7" s="38">
        <f t="shared" ref="B7:B12" si="0">B27</f>
        <v>959.05179335358491</v>
      </c>
      <c r="C7" s="34"/>
      <c r="D7" s="38">
        <f>IF(ISERROR(TER_horeca_gas_kWh/1000),0,TER_horeca_gas_kWh/1000)*0.902</f>
        <v>1001.0281525354352</v>
      </c>
      <c r="E7" s="34">
        <f>$C$27*'E Balans VL '!I9/100/3.6*1000000</f>
        <v>49.767848227767146</v>
      </c>
      <c r="F7" s="34">
        <f>$C$27*('E Balans VL '!L9+'E Balans VL '!N9)/100/3.6*1000000</f>
        <v>218.8563151347183</v>
      </c>
      <c r="G7" s="35"/>
      <c r="H7" s="34"/>
      <c r="I7" s="34"/>
      <c r="J7" s="34">
        <f>$C$27*('E Balans VL '!D9+'E Balans VL '!E9)/100/3.6*1000000</f>
        <v>0</v>
      </c>
      <c r="K7" s="34"/>
      <c r="L7" s="34"/>
      <c r="M7" s="34"/>
      <c r="N7" s="34">
        <f>$C$27*'E Balans VL '!Y9/100/3.6*1000000</f>
        <v>0.10127542987347982</v>
      </c>
      <c r="O7" s="34"/>
      <c r="P7" s="34"/>
      <c r="R7" s="33"/>
    </row>
    <row r="8" spans="1:18">
      <c r="A8" s="6" t="s">
        <v>51</v>
      </c>
      <c r="B8" s="38">
        <f t="shared" si="0"/>
        <v>4377.4217772576803</v>
      </c>
      <c r="C8" s="34"/>
      <c r="D8" s="38">
        <f>IF(ISERROR(TER_handel_gas_kWh/1000),0,TER_handel_gas_kWh/1000)*0.902</f>
        <v>1792.6024138489504</v>
      </c>
      <c r="E8" s="34">
        <f>$C$28*'E Balans VL '!I13/100/3.6*1000000</f>
        <v>23.572954184174531</v>
      </c>
      <c r="F8" s="34">
        <f>$C$28*('E Balans VL '!L13+'E Balans VL '!N13)/100/3.6*1000000</f>
        <v>892.68638564170283</v>
      </c>
      <c r="G8" s="35"/>
      <c r="H8" s="34"/>
      <c r="I8" s="34"/>
      <c r="J8" s="34">
        <f>$C$28*('E Balans VL '!D13+'E Balans VL '!E13)/100/3.6*1000000</f>
        <v>0</v>
      </c>
      <c r="K8" s="34"/>
      <c r="L8" s="34"/>
      <c r="M8" s="34"/>
      <c r="N8" s="34">
        <f>$C$28*'E Balans VL '!Y13/100/3.6*1000000</f>
        <v>21.766606848091996</v>
      </c>
      <c r="O8" s="34"/>
      <c r="P8" s="34"/>
      <c r="R8" s="33"/>
    </row>
    <row r="9" spans="1:18">
      <c r="A9" s="33" t="s">
        <v>50</v>
      </c>
      <c r="B9" s="38">
        <f t="shared" si="0"/>
        <v>759.19334858603099</v>
      </c>
      <c r="C9" s="34"/>
      <c r="D9" s="38">
        <f>IF(ISERROR(TER_gezond_gas_kWh/1000),0,TER_gezond_gas_kWh/1000)*0.902</f>
        <v>2261.7931458318485</v>
      </c>
      <c r="E9" s="34">
        <f>$C$29*'E Balans VL '!I10/100/3.6*1000000</f>
        <v>0.75236924195978594</v>
      </c>
      <c r="F9" s="34">
        <f>$C$29*('E Balans VL '!L10+'E Balans VL '!N10)/100/3.6*1000000</f>
        <v>263.41820905060348</v>
      </c>
      <c r="G9" s="35"/>
      <c r="H9" s="34"/>
      <c r="I9" s="34"/>
      <c r="J9" s="34">
        <f>$C$29*('E Balans VL '!D10+'E Balans VL '!E10)/100/3.6*1000000</f>
        <v>0</v>
      </c>
      <c r="K9" s="34"/>
      <c r="L9" s="34"/>
      <c r="M9" s="34"/>
      <c r="N9" s="34">
        <f>$C$29*'E Balans VL '!Y10/100/3.6*1000000</f>
        <v>6.5419033161613553</v>
      </c>
      <c r="O9" s="34"/>
      <c r="P9" s="34"/>
      <c r="R9" s="33"/>
    </row>
    <row r="10" spans="1:18">
      <c r="A10" s="33" t="s">
        <v>49</v>
      </c>
      <c r="B10" s="38">
        <f t="shared" si="0"/>
        <v>2377.6565105342397</v>
      </c>
      <c r="C10" s="34"/>
      <c r="D10" s="38">
        <f>IF(ISERROR(TER_ander_gas_kWh/1000),0,TER_ander_gas_kWh/1000)*0.902</f>
        <v>558.1506101888466</v>
      </c>
      <c r="E10" s="34">
        <f>$C$30*'E Balans VL '!I14/100/3.6*1000000</f>
        <v>19.451606554617523</v>
      </c>
      <c r="F10" s="34">
        <f>$C$30*('E Balans VL '!L14+'E Balans VL '!N14)/100/3.6*1000000</f>
        <v>695.12996527461667</v>
      </c>
      <c r="G10" s="35"/>
      <c r="H10" s="34"/>
      <c r="I10" s="34"/>
      <c r="J10" s="34">
        <f>$C$30*('E Balans VL '!D14+'E Balans VL '!E14)/100/3.6*1000000</f>
        <v>0</v>
      </c>
      <c r="K10" s="34"/>
      <c r="L10" s="34"/>
      <c r="M10" s="34"/>
      <c r="N10" s="34">
        <f>$C$30*'E Balans VL '!Y14/100/3.6*1000000</f>
        <v>1371.5958316839335</v>
      </c>
      <c r="O10" s="34"/>
      <c r="P10" s="34"/>
      <c r="R10" s="33"/>
    </row>
    <row r="11" spans="1:18">
      <c r="A11" s="33" t="s">
        <v>54</v>
      </c>
      <c r="B11" s="38">
        <f t="shared" si="0"/>
        <v>98.072561011960389</v>
      </c>
      <c r="C11" s="34"/>
      <c r="D11" s="38">
        <f>IF(ISERROR(TER_onderwijs_gas_kWh/1000),0,TER_onderwijs_gas_kWh/1000)*0.902</f>
        <v>565.91138352511734</v>
      </c>
      <c r="E11" s="34">
        <f>$C$31*'E Balans VL '!I11/100/3.6*1000000</f>
        <v>6.0447788515585972E-2</v>
      </c>
      <c r="F11" s="34">
        <f>$C$31*('E Balans VL '!L11+'E Balans VL '!N11)/100/3.6*1000000</f>
        <v>37.916440339918331</v>
      </c>
      <c r="G11" s="35"/>
      <c r="H11" s="34"/>
      <c r="I11" s="34"/>
      <c r="J11" s="34">
        <f>$C$31*('E Balans VL '!D11+'E Balans VL '!E11)/100/3.6*1000000</f>
        <v>0</v>
      </c>
      <c r="K11" s="34"/>
      <c r="L11" s="34"/>
      <c r="M11" s="34"/>
      <c r="N11" s="34">
        <f>$C$31*'E Balans VL '!Y11/100/3.6*1000000</f>
        <v>0.31900902447081492</v>
      </c>
      <c r="O11" s="34"/>
      <c r="P11" s="34"/>
      <c r="R11" s="33"/>
    </row>
    <row r="12" spans="1:18">
      <c r="A12" s="33" t="s">
        <v>255</v>
      </c>
      <c r="B12" s="38">
        <f t="shared" si="0"/>
        <v>2236.7942903707699</v>
      </c>
      <c r="C12" s="34"/>
      <c r="D12" s="38">
        <f>IF(ISERROR(TER_rest_gas_kWh/1000),0,TER_rest_gas_kWh/1000)*0.902</f>
        <v>2680.2649500868138</v>
      </c>
      <c r="E12" s="34">
        <f>$C$32*'E Balans VL '!I8/100/3.6*1000000</f>
        <v>19.32666472600997</v>
      </c>
      <c r="F12" s="34">
        <f>$C$32*('E Balans VL '!L8+'E Balans VL '!N8)/100/3.6*1000000</f>
        <v>445.54116204518346</v>
      </c>
      <c r="G12" s="35"/>
      <c r="H12" s="34"/>
      <c r="I12" s="34"/>
      <c r="J12" s="34">
        <f>$C$32*('E Balans VL '!D8+'E Balans VL '!E8)/100/3.6*1000000</f>
        <v>0</v>
      </c>
      <c r="K12" s="34"/>
      <c r="L12" s="34"/>
      <c r="M12" s="34"/>
      <c r="N12" s="34">
        <f>$C$32*'E Balans VL '!Y8/100/3.6*1000000</f>
        <v>147.12043794342665</v>
      </c>
      <c r="O12" s="34"/>
      <c r="P12" s="34"/>
      <c r="R12" s="33"/>
    </row>
    <row r="13" spans="1:18">
      <c r="A13" s="17" t="s">
        <v>495</v>
      </c>
      <c r="B13" s="246">
        <f ca="1">'lokale energieproductie'!N39+'lokale energieproductie'!N32</f>
        <v>0</v>
      </c>
      <c r="C13" s="246">
        <f ca="1">'lokale energieproductie'!O39+'lokale energieproductie'!O32</f>
        <v>0</v>
      </c>
      <c r="D13" s="305">
        <f ca="1">('lokale energieproductie'!P32+'lokale energieproductie'!P39)*(-1)</f>
        <v>0</v>
      </c>
      <c r="E13" s="247"/>
      <c r="F13" s="305">
        <f ca="1">('lokale energieproductie'!S32+'lokale energieproductie'!S39)*(-1)</f>
        <v>0</v>
      </c>
      <c r="G13" s="248"/>
      <c r="H13" s="247"/>
      <c r="I13" s="247"/>
      <c r="J13" s="247"/>
      <c r="K13" s="247"/>
      <c r="L13" s="305">
        <f ca="1">('lokale energieproductie'!U32+'lokale energieproductie'!T32+'lokale energieproductie'!U39+'lokale energieproductie'!T39)*(-1)</f>
        <v>0</v>
      </c>
      <c r="M13" s="247"/>
      <c r="N13" s="305">
        <f ca="1">('lokale energieproductie'!Q32+'lokale energieproductie'!R32+'lokale energieproductie'!V32+'lokale energieproductie'!Q39+'lokale energieproductie'!R39+'lokale energieproductie'!V39)*(-1)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12476.588397253787</v>
      </c>
      <c r="C16" s="22">
        <f t="shared" ca="1" si="1"/>
        <v>0</v>
      </c>
      <c r="D16" s="22">
        <f t="shared" ca="1" si="1"/>
        <v>11410.929906405721</v>
      </c>
      <c r="E16" s="22">
        <f t="shared" si="1"/>
        <v>115.67007017563412</v>
      </c>
      <c r="F16" s="22">
        <f t="shared" ca="1" si="1"/>
        <v>2750.2133601036594</v>
      </c>
      <c r="G16" s="22">
        <f t="shared" si="1"/>
        <v>0</v>
      </c>
      <c r="H16" s="22">
        <f t="shared" si="1"/>
        <v>0</v>
      </c>
      <c r="I16" s="22">
        <f t="shared" si="1"/>
        <v>0</v>
      </c>
      <c r="J16" s="22">
        <f t="shared" si="1"/>
        <v>0</v>
      </c>
      <c r="K16" s="22">
        <f t="shared" si="1"/>
        <v>0</v>
      </c>
      <c r="L16" s="22">
        <f t="shared" ca="1" si="1"/>
        <v>0</v>
      </c>
      <c r="M16" s="22">
        <f t="shared" si="1"/>
        <v>0</v>
      </c>
      <c r="N16" s="22">
        <f t="shared" ca="1" si="1"/>
        <v>1547.782156184812</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0.21355060764504663</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2664.3830335706848</v>
      </c>
      <c r="C20" s="24">
        <f t="shared" ref="C20:P20" ca="1" si="2">C16*C18</f>
        <v>0</v>
      </c>
      <c r="D20" s="24">
        <f t="shared" ca="1" si="2"/>
        <v>2305.0078410939559</v>
      </c>
      <c r="E20" s="24">
        <f t="shared" si="2"/>
        <v>26.257105929868946</v>
      </c>
      <c r="F20" s="24">
        <f t="shared" ca="1" si="2"/>
        <v>734.30696714767714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1668.39811613952</v>
      </c>
      <c r="C26" s="40">
        <f>IF(ISERROR(B26*3.6/1000000/'E Balans VL '!Z12*100),0,B26*3.6/1000000/'E Balans VL '!Z12*100)</f>
        <v>3.545226350788247E-2</v>
      </c>
      <c r="D26" s="236" t="s">
        <v>691</v>
      </c>
      <c r="F26" s="6"/>
    </row>
    <row r="27" spans="1:18">
      <c r="A27" s="231" t="s">
        <v>52</v>
      </c>
      <c r="B27" s="34">
        <f>IF(ISERROR(TER_horeca_ele_kWh/1000),0,TER_horeca_ele_kWh/1000)</f>
        <v>959.05179335358491</v>
      </c>
      <c r="C27" s="40">
        <f>IF(ISERROR(B27*3.6/1000000/'E Balans VL '!Z9*100),0,B27*3.6/1000000/'E Balans VL '!Z9*100)</f>
        <v>7.5484792452283095E-2</v>
      </c>
      <c r="D27" s="236" t="s">
        <v>691</v>
      </c>
      <c r="F27" s="6"/>
    </row>
    <row r="28" spans="1:18">
      <c r="A28" s="171" t="s">
        <v>51</v>
      </c>
      <c r="B28" s="34">
        <f>IF(ISERROR(TER_handel_ele_kWh/1000),0,TER_handel_ele_kWh/1000)</f>
        <v>4377.4217772576803</v>
      </c>
      <c r="C28" s="40">
        <f>IF(ISERROR(B28*3.6/1000000/'E Balans VL '!Z13*100),0,B28*3.6/1000000/'E Balans VL '!Z13*100)</f>
        <v>0.12261392668463356</v>
      </c>
      <c r="D28" s="236" t="s">
        <v>691</v>
      </c>
      <c r="F28" s="6"/>
    </row>
    <row r="29" spans="1:18">
      <c r="A29" s="231" t="s">
        <v>50</v>
      </c>
      <c r="B29" s="34">
        <f>IF(ISERROR(TER_gezond_ele_kWh/1000),0,TER_gezond_ele_kWh/1000)</f>
        <v>759.19334858603099</v>
      </c>
      <c r="C29" s="40">
        <f>IF(ISERROR(B29*3.6/1000000/'E Balans VL '!Z10*100),0,B29*3.6/1000000/'E Balans VL '!Z10*100)</f>
        <v>9.7123786366432083E-2</v>
      </c>
      <c r="D29" s="236" t="s">
        <v>691</v>
      </c>
      <c r="F29" s="6"/>
    </row>
    <row r="30" spans="1:18">
      <c r="A30" s="231" t="s">
        <v>49</v>
      </c>
      <c r="B30" s="34">
        <f>IF(ISERROR(TER_ander_ele_kWh/1000),0,TER_ander_ele_kWh/1000)</f>
        <v>2377.6565105342397</v>
      </c>
      <c r="C30" s="40">
        <f>IF(ISERROR(B30*3.6/1000000/'E Balans VL '!Z14*100),0,B30*3.6/1000000/'E Balans VL '!Z14*100)</f>
        <v>0.17782867250422296</v>
      </c>
      <c r="D30" s="236" t="s">
        <v>691</v>
      </c>
      <c r="F30" s="6"/>
    </row>
    <row r="31" spans="1:18">
      <c r="A31" s="231" t="s">
        <v>54</v>
      </c>
      <c r="B31" s="34">
        <f>IF(ISERROR(TER_onderwijs_ele_kWh/1000),0,TER_onderwijs_ele_kWh/1000)</f>
        <v>98.072561011960389</v>
      </c>
      <c r="C31" s="40">
        <f>IF(ISERROR(B31*3.6/1000000/'E Balans VL '!Z11*100),0,B31*3.6/1000000/'E Balans VL '!Z11*100)</f>
        <v>2.0708148294113268E-2</v>
      </c>
      <c r="D31" s="236" t="s">
        <v>691</v>
      </c>
    </row>
    <row r="32" spans="1:18">
      <c r="A32" s="231" t="s">
        <v>255</v>
      </c>
      <c r="B32" s="34">
        <f>IF(ISERROR(TER_rest_ele_kWh/1000),0,TER_rest_ele_kWh/1000)</f>
        <v>2236.7942903707699</v>
      </c>
      <c r="C32" s="40">
        <f>IF(ISERROR(B32*3.6/1000000/'E Balans VL '!Z8*100),0,B32*3.6/1000000/'E Balans VL '!Z8*100)</f>
        <v>1.842655940843773E-2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18577.769820961454</v>
      </c>
      <c r="C5" s="18">
        <f>IF(ISERROR('Eigen informatie GS &amp; warmtenet'!B59),0,'Eigen informatie GS &amp; warmtenet'!B59)</f>
        <v>0</v>
      </c>
      <c r="D5" s="31">
        <f>SUM(D6:D15)</f>
        <v>20349.502508500944</v>
      </c>
      <c r="E5" s="18">
        <f>SUM(E6:E15)</f>
        <v>158.51173611172214</v>
      </c>
      <c r="F5" s="18">
        <f>SUM(F6:F15)</f>
        <v>4553.0840777945323</v>
      </c>
      <c r="G5" s="19"/>
      <c r="H5" s="18"/>
      <c r="I5" s="18"/>
      <c r="J5" s="18">
        <f>SUM(J6:J15)</f>
        <v>54.278642713891209</v>
      </c>
      <c r="K5" s="18"/>
      <c r="L5" s="18"/>
      <c r="M5" s="18"/>
      <c r="N5" s="18">
        <f>SUM(N6:N15)</f>
        <v>564.99657129990521</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553.357813940455</v>
      </c>
      <c r="C8" s="34"/>
      <c r="D8" s="38">
        <f>IF( ISERROR(IND_metaal_Gas_kWH/1000),0,IND_metaal_Gas_kWH/1000)*0.902</f>
        <v>0</v>
      </c>
      <c r="E8" s="34">
        <f>C30*'E Balans VL '!I18/100/3.6*1000000</f>
        <v>5.0393298896412286</v>
      </c>
      <c r="F8" s="34">
        <f>C30*'E Balans VL '!L18/100/3.6*1000000+C30*'E Balans VL '!N18/100/3.6*1000000</f>
        <v>72.983693387330675</v>
      </c>
      <c r="G8" s="35"/>
      <c r="H8" s="34"/>
      <c r="I8" s="34"/>
      <c r="J8" s="41">
        <f>C30*'E Balans VL '!D18/100/3.6*1000000+C30*'E Balans VL '!E18/100/3.6*1000000</f>
        <v>9.0742647020088665</v>
      </c>
      <c r="K8" s="34"/>
      <c r="L8" s="34"/>
      <c r="M8" s="34"/>
      <c r="N8" s="34">
        <f>C30*'E Balans VL '!Y18/100/3.6*1000000</f>
        <v>1.9016709856856389</v>
      </c>
      <c r="O8" s="34"/>
      <c r="P8" s="34"/>
      <c r="R8" s="33"/>
    </row>
    <row r="9" spans="1:18">
      <c r="A9" s="6" t="s">
        <v>32</v>
      </c>
      <c r="B9" s="38">
        <f t="shared" si="0"/>
        <v>2582.4927071564002</v>
      </c>
      <c r="C9" s="34"/>
      <c r="D9" s="38">
        <f>IF( ISERROR(IND_andere_gas_kWh/1000),0,IND_andere_gas_kWh/1000)*0.902</f>
        <v>1878.5358892441834</v>
      </c>
      <c r="E9" s="34">
        <f>C31*'E Balans VL '!I19/100/3.6*1000000</f>
        <v>14.927193768978354</v>
      </c>
      <c r="F9" s="34">
        <f>C31*'E Balans VL '!L19/100/3.6*1000000+C31*'E Balans VL '!N19/100/3.6*1000000</f>
        <v>2054.4972131746531</v>
      </c>
      <c r="G9" s="35"/>
      <c r="H9" s="34"/>
      <c r="I9" s="34"/>
      <c r="J9" s="41">
        <f>C31*'E Balans VL '!D19/100/3.6*1000000+C31*'E Balans VL '!E19/100/3.6*1000000</f>
        <v>0.2442751245804872</v>
      </c>
      <c r="K9" s="34"/>
      <c r="L9" s="34"/>
      <c r="M9" s="34"/>
      <c r="N9" s="34">
        <f>C31*'E Balans VL '!Y19/100/3.6*1000000</f>
        <v>195.66290422270686</v>
      </c>
      <c r="O9" s="34"/>
      <c r="P9" s="34"/>
      <c r="R9" s="33"/>
    </row>
    <row r="10" spans="1:18">
      <c r="A10" s="6" t="s">
        <v>40</v>
      </c>
      <c r="B10" s="38">
        <f t="shared" si="0"/>
        <v>5780.3430139121301</v>
      </c>
      <c r="C10" s="34"/>
      <c r="D10" s="38">
        <f>IF( ISERROR(IND_voed_gas_kWh/1000),0,IND_voed_gas_kWh/1000)*0.902</f>
        <v>213.73480338173633</v>
      </c>
      <c r="E10" s="34">
        <f>C32*'E Balans VL '!I20/100/3.6*1000000</f>
        <v>56.835894078731549</v>
      </c>
      <c r="F10" s="34">
        <f>C32*'E Balans VL '!L20/100/3.6*1000000+C32*'E Balans VL '!N20/100/3.6*1000000</f>
        <v>641.9825404567639</v>
      </c>
      <c r="G10" s="35"/>
      <c r="H10" s="34"/>
      <c r="I10" s="34"/>
      <c r="J10" s="41">
        <f>C32*'E Balans VL '!D20/100/3.6*1000000+C32*'E Balans VL '!E20/100/3.6*1000000</f>
        <v>2.2782955935656806E-2</v>
      </c>
      <c r="K10" s="34"/>
      <c r="L10" s="34"/>
      <c r="M10" s="34"/>
      <c r="N10" s="34">
        <f>C32*'E Balans VL '!Y20/100/3.6*1000000</f>
        <v>85.593283236062149</v>
      </c>
      <c r="O10" s="34"/>
      <c r="P10" s="34"/>
      <c r="R10" s="33"/>
    </row>
    <row r="11" spans="1:18">
      <c r="A11" s="6" t="s">
        <v>39</v>
      </c>
      <c r="B11" s="38">
        <f t="shared" si="0"/>
        <v>725.53102454910697</v>
      </c>
      <c r="C11" s="34"/>
      <c r="D11" s="38">
        <f>IF( ISERROR(IND_textiel_gas_kWh/1000),0,IND_textiel_gas_kWh/1000)*0.902</f>
        <v>0</v>
      </c>
      <c r="E11" s="34">
        <f>C33*'E Balans VL '!I21/100/3.6*1000000</f>
        <v>1.4127773780680228</v>
      </c>
      <c r="F11" s="34">
        <f>C33*'E Balans VL '!L21/100/3.6*1000000+C33*'E Balans VL '!N21/100/3.6*1000000</f>
        <v>23.930394022285693</v>
      </c>
      <c r="G11" s="35"/>
      <c r="H11" s="34"/>
      <c r="I11" s="34"/>
      <c r="J11" s="41">
        <f>C33*'E Balans VL '!D21/100/3.6*1000000+C33*'E Balans VL '!E21/100/3.6*1000000</f>
        <v>0</v>
      </c>
      <c r="K11" s="34"/>
      <c r="L11" s="34"/>
      <c r="M11" s="34"/>
      <c r="N11" s="34">
        <f>C33*'E Balans VL '!Y21/100/3.6*1000000</f>
        <v>7.5256649998009113</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8936.0452614033602</v>
      </c>
      <c r="C15" s="34"/>
      <c r="D15" s="38">
        <f>IF( ISERROR(IND_rest_gas_kWh/1000),0,IND_rest_gas_kWh/1000)*0.902</f>
        <v>18257.231815875024</v>
      </c>
      <c r="E15" s="34">
        <f>C37*'E Balans VL '!I15/100/3.6*1000000</f>
        <v>80.296540996302966</v>
      </c>
      <c r="F15" s="34">
        <f>C37*'E Balans VL '!L15/100/3.6*1000000+C37*'E Balans VL '!N15/100/3.6*1000000</f>
        <v>1759.6902367534988</v>
      </c>
      <c r="G15" s="35"/>
      <c r="H15" s="34"/>
      <c r="I15" s="34"/>
      <c r="J15" s="41">
        <f>C37*'E Balans VL '!D15/100/3.6*1000000+C37*'E Balans VL '!E15/100/3.6*1000000</f>
        <v>44.937319931366197</v>
      </c>
      <c r="K15" s="34"/>
      <c r="L15" s="34"/>
      <c r="M15" s="34"/>
      <c r="N15" s="34">
        <f>C37*'E Balans VL '!Y15/100/3.6*1000000</f>
        <v>274.31304785564964</v>
      </c>
      <c r="O15" s="34"/>
      <c r="P15" s="34"/>
      <c r="R15" s="33"/>
    </row>
    <row r="16" spans="1:18">
      <c r="A16" s="17" t="s">
        <v>495</v>
      </c>
      <c r="B16" s="246">
        <f>'lokale energieproductie'!N38+'lokale energieproductie'!N31</f>
        <v>0</v>
      </c>
      <c r="C16" s="246">
        <f>'lokale energieproductie'!O38+'lokale energieproductie'!O31</f>
        <v>0</v>
      </c>
      <c r="D16" s="305">
        <f>('lokale energieproductie'!P31+'lokale energieproductie'!P38)*(-1)</f>
        <v>0</v>
      </c>
      <c r="E16" s="247"/>
      <c r="F16" s="305">
        <f>('lokale energieproductie'!S31+'lokale energieproductie'!S38)*(-1)</f>
        <v>0</v>
      </c>
      <c r="G16" s="248"/>
      <c r="H16" s="247"/>
      <c r="I16" s="247"/>
      <c r="J16" s="247"/>
      <c r="K16" s="247"/>
      <c r="L16" s="305">
        <f>('lokale energieproductie'!T31+'lokale energieproductie'!U31+'lokale energieproductie'!T38+'lokale energieproductie'!U38)*(-1)</f>
        <v>0</v>
      </c>
      <c r="M16" s="247"/>
      <c r="N16" s="305">
        <f>('lokale energieproductie'!Q31+'lokale energieproductie'!R31+'lokale energieproductie'!V31+'lokale energieproductie'!Q38+'lokale energieproductie'!R38+'lokale energieproductie'!V38)*(-1)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18577.769820961454</v>
      </c>
      <c r="C18" s="22">
        <f>C5+C16</f>
        <v>0</v>
      </c>
      <c r="D18" s="22">
        <f>MAX((D5+D16),0)</f>
        <v>20349.502508500944</v>
      </c>
      <c r="E18" s="22">
        <f>MAX((E5+E16),0)</f>
        <v>158.51173611172214</v>
      </c>
      <c r="F18" s="22">
        <f>MAX((F5+F16),0)</f>
        <v>4553.0840777945323</v>
      </c>
      <c r="G18" s="22"/>
      <c r="H18" s="22"/>
      <c r="I18" s="22"/>
      <c r="J18" s="22">
        <f>MAX((J5+J16),0)</f>
        <v>54.278642713891209</v>
      </c>
      <c r="K18" s="22"/>
      <c r="L18" s="22">
        <f>MAX((L5+L16),0)</f>
        <v>0</v>
      </c>
      <c r="M18" s="22"/>
      <c r="N18" s="22">
        <f>MAX((N5+N16),0)</f>
        <v>564.99657129990521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0.21355060764504663</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3967.2940339561278</v>
      </c>
      <c r="C22" s="24">
        <f ca="1">C18*C20</f>
        <v>0</v>
      </c>
      <c r="D22" s="24">
        <f>D18*D20</f>
        <v>4110.5995067171907</v>
      </c>
      <c r="E22" s="24">
        <f>E18*E20</f>
        <v>35.982164097360929</v>
      </c>
      <c r="F22" s="24">
        <f>F18*F20</f>
        <v>1215.6734487711401</v>
      </c>
      <c r="G22" s="24"/>
      <c r="H22" s="24"/>
      <c r="I22" s="24"/>
      <c r="J22" s="24">
        <f>J18*J20</f>
        <v>19.214639520717487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553.357813940455</v>
      </c>
      <c r="C30" s="40">
        <f>IF(ISERROR(B30*3.6/1000000/'E Balans VL '!Z18*100),0,B30*3.6/1000000/'E Balans VL '!Z18*100)</f>
        <v>3.0790662073831871E-2</v>
      </c>
      <c r="D30" s="236" t="s">
        <v>691</v>
      </c>
    </row>
    <row r="31" spans="1:18">
      <c r="A31" s="6" t="s">
        <v>32</v>
      </c>
      <c r="B31" s="38">
        <f>IF( ISERROR(IND_ander_ele_kWh/1000),0,IND_ander_ele_kWh/1000)</f>
        <v>2582.4927071564002</v>
      </c>
      <c r="C31" s="40">
        <f>IF(ISERROR(B31*3.6/1000000/'E Balans VL '!Z19*100),0,B31*3.6/1000000/'E Balans VL '!Z19*100)</f>
        <v>0.12005330354808927</v>
      </c>
      <c r="D31" s="236" t="s">
        <v>691</v>
      </c>
    </row>
    <row r="32" spans="1:18">
      <c r="A32" s="171" t="s">
        <v>40</v>
      </c>
      <c r="B32" s="38">
        <f>IF( ISERROR(IND_voed_ele_kWh/1000),0,IND_voed_ele_kWh/1000)</f>
        <v>5780.3430139121301</v>
      </c>
      <c r="C32" s="40">
        <f>IF(ISERROR(B32*3.6/1000000/'E Balans VL '!Z20*100),0,B32*3.6/1000000/'E Balans VL '!Z20*100)</f>
        <v>0.20432345164468255</v>
      </c>
      <c r="D32" s="236" t="s">
        <v>691</v>
      </c>
    </row>
    <row r="33" spans="1:5">
      <c r="A33" s="171" t="s">
        <v>39</v>
      </c>
      <c r="B33" s="38">
        <f>IF( ISERROR(IND_textiel_ele_kWh/1000),0,IND_textiel_ele_kWh/1000)</f>
        <v>725.53102454910697</v>
      </c>
      <c r="C33" s="40">
        <f>IF(ISERROR(B33*3.6/1000000/'E Balans VL '!Z21*100),0,B33*3.6/1000000/'E Balans VL '!Z21*100)</f>
        <v>9.799397402713958E-2</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8936.0452614033602</v>
      </c>
      <c r="C37" s="40">
        <f>IF(ISERROR(B37*3.6/1000000/'E Balans VL '!Z15*100),0,B37*3.6/1000000/'E Balans VL '!Z15*100)</f>
        <v>6.7480342258564932E-2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3483.0780343557394</v>
      </c>
      <c r="C5" s="18">
        <f>'Eigen informatie GS &amp; warmtenet'!B60</f>
        <v>0</v>
      </c>
      <c r="D5" s="31">
        <f>IF(ISERROR(SUM(LB_lb_gas_kWh,LB_rest_gas_kWh)/1000),0,SUM(LB_lb_gas_kWh,LB_rest_gas_kWh)/1000)*0.902</f>
        <v>37628.405434209781</v>
      </c>
      <c r="E5" s="18">
        <f>B17*'E Balans VL '!I25/3.6*1000000/100</f>
        <v>32.812928822467946</v>
      </c>
      <c r="F5" s="18">
        <f>B17*('E Balans VL '!L25/3.6*1000000+'E Balans VL '!N25/3.6*1000000)/100</f>
        <v>11366.439558184653</v>
      </c>
      <c r="G5" s="19"/>
      <c r="H5" s="18"/>
      <c r="I5" s="18"/>
      <c r="J5" s="18">
        <f>('E Balans VL '!D25+'E Balans VL '!E25)/3.6*1000000*landbouw!B17/100</f>
        <v>430.8736945381097</v>
      </c>
      <c r="K5" s="18"/>
      <c r="L5" s="18">
        <f>L6*(-1)</f>
        <v>0</v>
      </c>
      <c r="M5" s="18"/>
      <c r="N5" s="18">
        <f>N6*(-1)</f>
        <v>0</v>
      </c>
      <c r="O5" s="18"/>
      <c r="P5" s="18"/>
      <c r="R5" s="33"/>
    </row>
    <row r="6" spans="1:18">
      <c r="A6" s="17" t="s">
        <v>495</v>
      </c>
      <c r="B6" s="18" t="s">
        <v>210</v>
      </c>
      <c r="C6" s="18">
        <f>'lokale energieproductie'!O40+'lokale energieproductie'!O33</f>
        <v>18546.428571428572</v>
      </c>
      <c r="D6" s="305">
        <f>('lokale energieproductie'!P33+'lokale energieproductie'!P40)*(-1)</f>
        <v>-37092.857142857145</v>
      </c>
      <c r="E6" s="247"/>
      <c r="F6" s="305">
        <f>('lokale energieproductie'!S33+'lokale energieproductie'!S40)*(-1)</f>
        <v>0</v>
      </c>
      <c r="G6" s="248"/>
      <c r="H6" s="247"/>
      <c r="I6" s="247"/>
      <c r="J6" s="247"/>
      <c r="K6" s="247"/>
      <c r="L6" s="305">
        <f>('lokale energieproductie'!T33+'lokale energieproductie'!U33+'lokale energieproductie'!T40+'lokale energieproductie'!U40)*(-1)</f>
        <v>0</v>
      </c>
      <c r="M6" s="247"/>
      <c r="N6" s="305">
        <f>('lokale energieproductie'!V33+'lokale energieproductie'!R33+'lokale energieproductie'!Q33+'lokale energieproductie'!Q40+'lokale energieproductie'!R40+'lokale energieproductie'!V40)*(-1)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3483.0780343557394</v>
      </c>
      <c r="C8" s="22">
        <f>C5+C6</f>
        <v>18546.428571428572</v>
      </c>
      <c r="D8" s="22">
        <f>MAX((D5+D6),0)</f>
        <v>535.54829135263572</v>
      </c>
      <c r="E8" s="22">
        <f>MAX((E5+E6),0)</f>
        <v>32.812928822467946</v>
      </c>
      <c r="F8" s="22">
        <f>MAX((F5+F6),0)</f>
        <v>11366.439558184653</v>
      </c>
      <c r="G8" s="22"/>
      <c r="H8" s="22"/>
      <c r="I8" s="22"/>
      <c r="J8" s="22">
        <f>MAX((J5+J6),0)</f>
        <v>430.8736945381097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0.21355060764504663</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743.81343071178276</v>
      </c>
      <c r="C12" s="24">
        <f ca="1">C8*C10</f>
        <v>4407.5042016806728</v>
      </c>
      <c r="D12" s="24">
        <f>D8*D10</f>
        <v>108.18075485323241</v>
      </c>
      <c r="E12" s="24">
        <f>E8*E10</f>
        <v>7.4485348427002238</v>
      </c>
      <c r="F12" s="24">
        <f>F8*F10</f>
        <v>3034.8393620353027</v>
      </c>
      <c r="G12" s="24"/>
      <c r="H12" s="24"/>
      <c r="I12" s="24"/>
      <c r="J12" s="24">
        <f>J8*J10</f>
        <v>152.52928786649082</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0.47155310804398953</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56.617194308160869</v>
      </c>
      <c r="C26" s="246">
        <f>B26*'GWP N2O_CH4'!B5</f>
        <v>1188.9610804713782</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55.396335722155904</v>
      </c>
      <c r="C27" s="246">
        <f>B27*'GWP N2O_CH4'!B5</f>
        <v>1163.323050165274</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1.7033536579545436</v>
      </c>
      <c r="C28" s="246">
        <f>B28*'GWP N2O_CH4'!B4</f>
        <v>528.03963396590848</v>
      </c>
      <c r="D28" s="51"/>
    </row>
    <row r="29" spans="1:4">
      <c r="A29" s="42" t="s">
        <v>272</v>
      </c>
      <c r="B29" s="246">
        <f>B34*'ha_N2O bodem landbouw'!B4</f>
        <v>4.1971926540008955</v>
      </c>
      <c r="C29" s="246">
        <f>B29*'GWP N2O_CH4'!B4</f>
        <v>1301.1297227402777</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1.1331098878355219E-3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7.3299694923179389E-6</v>
      </c>
      <c r="C5" s="435" t="s">
        <v>210</v>
      </c>
      <c r="D5" s="420">
        <f>SUM(D6:D11)</f>
        <v>8.8409089767037055E-6</v>
      </c>
      <c r="E5" s="420">
        <f>SUM(E6:E11)</f>
        <v>5.6649674650285074E-4</v>
      </c>
      <c r="F5" s="433" t="s">
        <v>210</v>
      </c>
      <c r="G5" s="420">
        <f>SUM(G6:G11)</f>
        <v>0.16029552924406973</v>
      </c>
      <c r="H5" s="420">
        <f>SUM(H6:H11)</f>
        <v>2.1331782823654329E-2</v>
      </c>
      <c r="I5" s="435" t="s">
        <v>210</v>
      </c>
      <c r="J5" s="435" t="s">
        <v>210</v>
      </c>
      <c r="K5" s="435" t="s">
        <v>210</v>
      </c>
      <c r="L5" s="435" t="s">
        <v>210</v>
      </c>
      <c r="M5" s="420">
        <f>SUM(M6:M11)</f>
        <v>8.1095615102908091E-3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5.8076900500159162E-6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6.7641089988666985E-6</v>
      </c>
      <c r="E6" s="423">
        <f>vkm_GW_PW*SUMIFS(TableVerdeelsleutelVkm[LPG],TableVerdeelsleutelVkm[Voertuigtype],"Lichte voertuigen")*SUMIFS(TableECFTransport[EnergieConsumptieFactor (PJ per km)],TableECFTransport[Index],CONCATENATE($A6,"_LPG_LPG"))</f>
        <v>4.3883801007273408E-4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6.8466980150820506E-2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1.6500531383739206E-2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3.8023016746518467E-3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3.9047466831267286E-7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6.4593127465471481E-2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1.7332637834032605E-6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2.8741834575476432E-3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1.0918044774942974E-6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2.076799977837007E-6</v>
      </c>
      <c r="E8" s="423">
        <f>vkm_NGW_PW*SUMIFS(TableVerdeelsleutelVkm[LPG],TableVerdeelsleutelVkm[Voertuigtype],"Lichte voertuigen")*SUMIFS(TableECFTransport[EnergieConsumptieFactor (PJ per km)],TableECFTransport[Index],CONCATENATE($A8,"_LPG_LPG"))</f>
        <v>1.2765873643011671E-4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1.8750229443113945E-2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4.8293038616814615E-3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1.0555136187222513E-3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4.0000296495052174E-8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8.4851921846637798E-3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2.1431445025964431E-7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3.7756275936906732E-4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2.036102636754983</v>
      </c>
      <c r="C14" s="22"/>
      <c r="D14" s="22">
        <f t="shared" ref="D14:M14" si="0">((D5)*10^9/3600)+D12</f>
        <v>2.4558080490843626</v>
      </c>
      <c r="E14" s="22">
        <f t="shared" si="0"/>
        <v>157.36020736190301</v>
      </c>
      <c r="F14" s="22"/>
      <c r="G14" s="22">
        <f t="shared" si="0"/>
        <v>44526.535901130483</v>
      </c>
      <c r="H14" s="22">
        <f t="shared" si="0"/>
        <v>5925.4952287928691</v>
      </c>
      <c r="I14" s="22"/>
      <c r="J14" s="22"/>
      <c r="K14" s="22"/>
      <c r="L14" s="22"/>
      <c r="M14" s="22">
        <f t="shared" si="0"/>
        <v>2252.6559750807801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0.21355060764504663</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0.43481095530670827</v>
      </c>
      <c r="C18" s="24"/>
      <c r="D18" s="24">
        <f t="shared" ref="D18:M18" si="1">D14*D16</f>
        <v>0.49607322591504127</v>
      </c>
      <c r="E18" s="24">
        <f t="shared" si="1"/>
        <v>35.720767071151982</v>
      </c>
      <c r="F18" s="24"/>
      <c r="G18" s="24">
        <f t="shared" si="1"/>
        <v>11888.585085601839</v>
      </c>
      <c r="H18" s="24">
        <f t="shared" si="1"/>
        <v>1475.4483119694244</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1.1499749830093418E-5</v>
      </c>
      <c r="C50" s="316">
        <f t="shared" ref="C50:P50" si="2">SUM(C51:C52)</f>
        <v>0</v>
      </c>
      <c r="D50" s="316">
        <f t="shared" si="2"/>
        <v>0</v>
      </c>
      <c r="E50" s="316">
        <f t="shared" si="2"/>
        <v>0</v>
      </c>
      <c r="F50" s="316">
        <f t="shared" si="2"/>
        <v>0</v>
      </c>
      <c r="G50" s="316">
        <f t="shared" si="2"/>
        <v>2.2936477761204073E-3</v>
      </c>
      <c r="H50" s="316">
        <f t="shared" si="2"/>
        <v>0</v>
      </c>
      <c r="I50" s="316">
        <f t="shared" si="2"/>
        <v>0</v>
      </c>
      <c r="J50" s="316">
        <f t="shared" si="2"/>
        <v>0</v>
      </c>
      <c r="K50" s="316">
        <f t="shared" si="2"/>
        <v>0</v>
      </c>
      <c r="L50" s="316">
        <f t="shared" si="2"/>
        <v>0</v>
      </c>
      <c r="M50" s="316">
        <f t="shared" si="2"/>
        <v>1.0137678883251323E-4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1.1499749830093418E-5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2.2936477761204073E-3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1.0137678883251323E-4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3.1943749528037273</v>
      </c>
      <c r="C54" s="22">
        <f t="shared" ref="C54:P54" si="3">(C50)*10^9/3600</f>
        <v>0</v>
      </c>
      <c r="D54" s="22">
        <f t="shared" si="3"/>
        <v>0</v>
      </c>
      <c r="E54" s="22">
        <f t="shared" si="3"/>
        <v>0</v>
      </c>
      <c r="F54" s="22">
        <f t="shared" si="3"/>
        <v>0</v>
      </c>
      <c r="G54" s="22">
        <f t="shared" si="3"/>
        <v>637.12438225566871</v>
      </c>
      <c r="H54" s="22">
        <f t="shared" si="3"/>
        <v>0</v>
      </c>
      <c r="I54" s="22">
        <f t="shared" si="3"/>
        <v>0</v>
      </c>
      <c r="J54" s="22">
        <f t="shared" si="3"/>
        <v>0</v>
      </c>
      <c r="K54" s="22">
        <f t="shared" si="3"/>
        <v>0</v>
      </c>
      <c r="L54" s="22">
        <f t="shared" si="3"/>
        <v>0</v>
      </c>
      <c r="M54" s="22">
        <f t="shared" si="3"/>
        <v>28.16021912014256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0.21355060764504663</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0.68216071221735308</v>
      </c>
      <c r="C58" s="24">
        <f t="shared" ref="C58:P58" ca="1" si="4">C54*C56</f>
        <v>0</v>
      </c>
      <c r="D58" s="24">
        <f t="shared" si="4"/>
        <v>0</v>
      </c>
      <c r="E58" s="24">
        <f t="shared" si="4"/>
        <v>0</v>
      </c>
      <c r="F58" s="24">
        <f t="shared" si="4"/>
        <v>0</v>
      </c>
      <c r="G58" s="24">
        <f t="shared" si="4"/>
        <v>170.11221006226356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B297" zoomScale="65" zoomScaleNormal="65" workbookViewId="0">
      <selection activeCell="M29" sqref="M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2810.1743021578077</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N30</f>
        <v>12982.5</v>
      </c>
      <c r="C8" s="546">
        <f>B49</f>
        <v>15273.529411764706</v>
      </c>
      <c r="D8" s="969"/>
      <c r="E8" s="969">
        <f>E49</f>
        <v>0</v>
      </c>
      <c r="F8" s="970"/>
      <c r="G8" s="547"/>
      <c r="H8" s="969">
        <f>I49</f>
        <v>0</v>
      </c>
      <c r="I8" s="969">
        <f>G49+F49</f>
        <v>0</v>
      </c>
      <c r="J8" s="969">
        <f>H49+D49+C49</f>
        <v>0</v>
      </c>
      <c r="K8" s="969"/>
      <c r="L8" s="969"/>
      <c r="M8" s="969"/>
      <c r="N8" s="548"/>
      <c r="O8" s="549">
        <f>C8*$C$12+D8*$D$12+E8*$E$12+F8*$F$12+G8*$G$12+H8*$H$12+I8*$I$12+J8*$J$12</f>
        <v>3085.2529411764708</v>
      </c>
      <c r="P8" s="1243"/>
      <c r="Q8" s="1244"/>
      <c r="S8" s="1006"/>
      <c r="T8" s="1264"/>
      <c r="U8" s="1264"/>
    </row>
    <row r="9" spans="1:21" s="534" customFormat="1" ht="17.45" customHeight="1" thickBot="1">
      <c r="A9" s="550" t="s">
        <v>243</v>
      </c>
      <c r="B9" s="971">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15792.674302157808</v>
      </c>
      <c r="C10" s="558">
        <f t="shared" ref="C10:L10" si="0">SUM(C8:C9)</f>
        <v>15273.529411764706</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3085.2529411764708</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O30</f>
        <v>18546.428571428572</v>
      </c>
      <c r="C17" s="570">
        <f>B50</f>
        <v>21819.327731092439</v>
      </c>
      <c r="D17" s="571"/>
      <c r="E17" s="571">
        <f>E50</f>
        <v>0</v>
      </c>
      <c r="F17" s="572"/>
      <c r="G17" s="573"/>
      <c r="H17" s="570">
        <f>I50</f>
        <v>0</v>
      </c>
      <c r="I17" s="571">
        <f>G50+F50</f>
        <v>0</v>
      </c>
      <c r="J17" s="571">
        <f>H50+D50+C50</f>
        <v>0</v>
      </c>
      <c r="K17" s="571"/>
      <c r="L17" s="571"/>
      <c r="M17" s="571"/>
      <c r="N17" s="976"/>
      <c r="O17" s="574">
        <f>C17*$C$22+E17*$E$22+H17*$H$22+I17*$I$22+J17*$J$22+D17*$D$22+F17*$F$22+G17*$G$22+K17*$K$22+L17*$L$22</f>
        <v>4407.5042016806728</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18546.428571428572</v>
      </c>
      <c r="C20" s="557">
        <f>SUM(C17:C19)</f>
        <v>21819.327731092439</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4407.5042016806728</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36007</v>
      </c>
      <c r="C28" s="777">
        <v>8770</v>
      </c>
      <c r="D28" s="630" t="s">
        <v>965</v>
      </c>
      <c r="E28" s="629" t="s">
        <v>966</v>
      </c>
      <c r="F28" s="629" t="s">
        <v>967</v>
      </c>
      <c r="G28" s="629" t="s">
        <v>968</v>
      </c>
      <c r="H28" s="629" t="s">
        <v>969</v>
      </c>
      <c r="I28" s="629" t="s">
        <v>966</v>
      </c>
      <c r="J28" s="776">
        <v>40550</v>
      </c>
      <c r="K28" s="776">
        <v>40550</v>
      </c>
      <c r="L28" s="629" t="s">
        <v>970</v>
      </c>
      <c r="M28" s="629">
        <v>1485</v>
      </c>
      <c r="N28" s="629">
        <v>6682.5</v>
      </c>
      <c r="O28" s="629">
        <v>9546.4285714285725</v>
      </c>
      <c r="P28" s="629">
        <v>19092.857142857145</v>
      </c>
      <c r="Q28" s="629">
        <v>0</v>
      </c>
      <c r="R28" s="629">
        <v>0</v>
      </c>
      <c r="S28" s="629">
        <v>0</v>
      </c>
      <c r="T28" s="629">
        <v>0</v>
      </c>
      <c r="U28" s="629">
        <v>0</v>
      </c>
      <c r="V28" s="629">
        <v>0</v>
      </c>
      <c r="W28" s="629"/>
      <c r="X28" s="629">
        <v>10</v>
      </c>
      <c r="Y28" s="629" t="s">
        <v>111</v>
      </c>
      <c r="Z28" s="631" t="s">
        <v>111</v>
      </c>
    </row>
    <row r="29" spans="1:26" s="583" customFormat="1" ht="25.5">
      <c r="A29" s="582"/>
      <c r="B29" s="777">
        <v>36007</v>
      </c>
      <c r="C29" s="777">
        <v>8770</v>
      </c>
      <c r="D29" s="630" t="s">
        <v>971</v>
      </c>
      <c r="E29" s="629" t="s">
        <v>972</v>
      </c>
      <c r="F29" s="629" t="s">
        <v>973</v>
      </c>
      <c r="G29" s="629" t="s">
        <v>968</v>
      </c>
      <c r="H29" s="629" t="s">
        <v>969</v>
      </c>
      <c r="I29" s="629" t="s">
        <v>972</v>
      </c>
      <c r="J29" s="776">
        <v>40681</v>
      </c>
      <c r="K29" s="776">
        <v>40681</v>
      </c>
      <c r="L29" s="629" t="s">
        <v>970</v>
      </c>
      <c r="M29" s="629">
        <v>1400</v>
      </c>
      <c r="N29" s="629">
        <v>6300</v>
      </c>
      <c r="O29" s="629">
        <v>9000</v>
      </c>
      <c r="P29" s="629">
        <v>18000</v>
      </c>
      <c r="Q29" s="629">
        <v>0</v>
      </c>
      <c r="R29" s="629">
        <v>0</v>
      </c>
      <c r="S29" s="629">
        <v>0</v>
      </c>
      <c r="T29" s="629">
        <v>0</v>
      </c>
      <c r="U29" s="629">
        <v>0</v>
      </c>
      <c r="V29" s="629">
        <v>0</v>
      </c>
      <c r="W29" s="629"/>
      <c r="X29" s="629">
        <v>10</v>
      </c>
      <c r="Y29" s="629" t="s">
        <v>111</v>
      </c>
      <c r="Z29" s="631" t="s">
        <v>111</v>
      </c>
    </row>
    <row r="30" spans="1:26" s="565" customFormat="1">
      <c r="A30" s="585" t="s">
        <v>275</v>
      </c>
      <c r="B30" s="586"/>
      <c r="C30" s="586"/>
      <c r="D30" s="586"/>
      <c r="E30" s="586"/>
      <c r="F30" s="586"/>
      <c r="G30" s="586"/>
      <c r="H30" s="586"/>
      <c r="I30" s="586"/>
      <c r="J30" s="586"/>
      <c r="K30" s="586"/>
      <c r="L30" s="587"/>
      <c r="M30" s="587">
        <f>SUM(M28:M29)</f>
        <v>2885</v>
      </c>
      <c r="N30" s="587">
        <f>SUM(N28:N29)</f>
        <v>12982.5</v>
      </c>
      <c r="O30" s="587">
        <f>SUM(O28:O29)</f>
        <v>18546.428571428572</v>
      </c>
      <c r="P30" s="587">
        <f>SUM(P28:P29)</f>
        <v>37092.857142857145</v>
      </c>
      <c r="Q30" s="587">
        <f>SUM(Q28:Q29)</f>
        <v>0</v>
      </c>
      <c r="R30" s="587">
        <f>SUM(R28:R29)</f>
        <v>0</v>
      </c>
      <c r="S30" s="587">
        <f>SUM(S28:S29)</f>
        <v>0</v>
      </c>
      <c r="T30" s="587">
        <f>SUM(T28:T29)</f>
        <v>0</v>
      </c>
      <c r="U30" s="587">
        <f>SUM(U28:U29)</f>
        <v>0</v>
      </c>
      <c r="V30" s="587">
        <f>SUM(V28:V29)</f>
        <v>0</v>
      </c>
      <c r="W30" s="587">
        <f>SUM(W28:W29)</f>
        <v>0</v>
      </c>
      <c r="X30" s="588"/>
      <c r="Y30" s="588"/>
      <c r="Z30" s="589"/>
    </row>
    <row r="31" spans="1:26" s="565" customFormat="1">
      <c r="A31" s="585" t="s">
        <v>282</v>
      </c>
      <c r="B31" s="586"/>
      <c r="C31" s="586"/>
      <c r="D31" s="586"/>
      <c r="E31" s="586"/>
      <c r="F31" s="586"/>
      <c r="G31" s="586"/>
      <c r="H31" s="586"/>
      <c r="I31" s="586"/>
      <c r="J31" s="586"/>
      <c r="K31" s="586"/>
      <c r="L31" s="587"/>
      <c r="M31" s="587">
        <f>SUMIF($Z$28:$Z$29,"industrie",M28:M29)</f>
        <v>0</v>
      </c>
      <c r="N31" s="587">
        <f>SUMIF($Z$28:$Z$29,"industrie",N28:N29)</f>
        <v>0</v>
      </c>
      <c r="O31" s="587">
        <f>SUMIF($Z$28:$Z$29,"industrie",O28:O29)</f>
        <v>0</v>
      </c>
      <c r="P31" s="587">
        <f>SUMIF($Z$28:$Z$29,"industrie",P28:P29)</f>
        <v>0</v>
      </c>
      <c r="Q31" s="587">
        <f>SUMIF($Z$28:$Z$29,"industrie",Q28:Q29)</f>
        <v>0</v>
      </c>
      <c r="R31" s="587">
        <f>SUMIF($Z$28:$Z$29,"industrie",R28:R29)</f>
        <v>0</v>
      </c>
      <c r="S31" s="587">
        <f>SUMIF($Z$28:$Z$29,"industrie",S28:S29)</f>
        <v>0</v>
      </c>
      <c r="T31" s="587">
        <f>SUMIF($Z$28:$Z$29,"industrie",T28:T29)</f>
        <v>0</v>
      </c>
      <c r="U31" s="587">
        <f>SUMIF($Z$28:$Z$29,"industrie",U28:U29)</f>
        <v>0</v>
      </c>
      <c r="V31" s="587">
        <f>SUMIF($Z$28:$Z$29,"industrie",V28:V29)</f>
        <v>0</v>
      </c>
      <c r="W31" s="587">
        <f>SUMIF($Z$28:$Z$29,"industrie",W28:W29)</f>
        <v>0</v>
      </c>
      <c r="X31" s="588"/>
      <c r="Y31" s="588"/>
      <c r="Z31" s="589"/>
    </row>
    <row r="32" spans="1:26" s="565" customFormat="1">
      <c r="A32" s="585" t="s">
        <v>283</v>
      </c>
      <c r="B32" s="586"/>
      <c r="C32" s="586"/>
      <c r="D32" s="586"/>
      <c r="E32" s="586"/>
      <c r="F32" s="586"/>
      <c r="G32" s="586"/>
      <c r="H32" s="586"/>
      <c r="I32" s="586"/>
      <c r="J32" s="586"/>
      <c r="K32" s="586"/>
      <c r="L32" s="587"/>
      <c r="M32" s="587">
        <f ca="1">SUMIF($Z$28:AC29,"tertiair",M28:M29)</f>
        <v>0</v>
      </c>
      <c r="N32" s="587">
        <f ca="1">SUMIF($Z$28:AD29,"tertiair",N28:N29)</f>
        <v>0</v>
      </c>
      <c r="O32" s="587">
        <f ca="1">SUMIF($Z$28:AE29,"tertiair",O28:O29)</f>
        <v>0</v>
      </c>
      <c r="P32" s="587">
        <f ca="1">SUMIF($Z$28:AF29,"tertiair",P28:P29)</f>
        <v>0</v>
      </c>
      <c r="Q32" s="587">
        <f ca="1">SUMIF($Z$28:AG29,"tertiair",Q28:Q29)</f>
        <v>0</v>
      </c>
      <c r="R32" s="587">
        <f ca="1">SUMIF($Z$28:AH29,"tertiair",R28:R29)</f>
        <v>0</v>
      </c>
      <c r="S32" s="587">
        <f ca="1">SUMIF($Z$28:AI29,"tertiair",S28:S29)</f>
        <v>0</v>
      </c>
      <c r="T32" s="587">
        <f ca="1">SUMIF($Z$28:AJ29,"tertiair",T28:T29)</f>
        <v>0</v>
      </c>
      <c r="U32" s="587">
        <f ca="1">SUMIF($Z$28:AK29,"tertiair",U28:U29)</f>
        <v>0</v>
      </c>
      <c r="V32" s="587">
        <f ca="1">SUMIF($Z$28:AL29,"tertiair",V28:V29)</f>
        <v>0</v>
      </c>
      <c r="W32" s="587">
        <f ca="1">SUMIF($Z$28:AM29,"tertiair",W28:W29)</f>
        <v>0</v>
      </c>
      <c r="X32" s="588"/>
      <c r="Y32" s="588"/>
      <c r="Z32" s="589"/>
    </row>
    <row r="33" spans="1:27" s="565" customFormat="1" ht="15.75" thickBot="1">
      <c r="A33" s="590" t="s">
        <v>284</v>
      </c>
      <c r="B33" s="591"/>
      <c r="C33" s="591"/>
      <c r="D33" s="591"/>
      <c r="E33" s="591"/>
      <c r="F33" s="591"/>
      <c r="G33" s="591"/>
      <c r="H33" s="591"/>
      <c r="I33" s="591"/>
      <c r="J33" s="591"/>
      <c r="K33" s="591"/>
      <c r="L33" s="592"/>
      <c r="M33" s="592">
        <f>SUMIF($Z$28:$Z$29,"landbouw",M28:M29)</f>
        <v>2885</v>
      </c>
      <c r="N33" s="592">
        <f>SUMIF($Z$28:$Z$29,"landbouw",N28:N29)</f>
        <v>12982.5</v>
      </c>
      <c r="O33" s="592">
        <f>SUMIF($Z$28:$Z$29,"landbouw",O28:O29)</f>
        <v>18546.428571428572</v>
      </c>
      <c r="P33" s="592">
        <f>SUMIF($Z$28:$Z$29,"landbouw",P28:P29)</f>
        <v>37092.857142857145</v>
      </c>
      <c r="Q33" s="592">
        <f>SUMIF($Z$28:$Z$29,"landbouw",Q28:Q29)</f>
        <v>0</v>
      </c>
      <c r="R33" s="592">
        <f>SUMIF($Z$28:$Z$29,"landbouw",R28:R29)</f>
        <v>0</v>
      </c>
      <c r="S33" s="592">
        <f>SUMIF($Z$28:$Z$29,"landbouw",S28:S29)</f>
        <v>0</v>
      </c>
      <c r="T33" s="592">
        <f>SUMIF($Z$28:$Z$29,"landbouw",T28:T29)</f>
        <v>0</v>
      </c>
      <c r="U33" s="592">
        <f>SUMIF($Z$28:$Z$29,"landbouw",U28:U29)</f>
        <v>0</v>
      </c>
      <c r="V33" s="592">
        <f>SUMIF($Z$28:$Z$29,"landbouw",V28:V29)</f>
        <v>0</v>
      </c>
      <c r="W33" s="592">
        <f>SUMIF($Z$28:$Z$29,"landbouw",W28:W29)</f>
        <v>0</v>
      </c>
      <c r="X33" s="593"/>
      <c r="Y33" s="593"/>
      <c r="Z33" s="594"/>
    </row>
    <row r="34" spans="1:27" s="534" customFormat="1" ht="15.75" thickBot="1">
      <c r="A34" s="595"/>
      <c r="B34" s="596"/>
      <c r="C34" s="596"/>
      <c r="D34" s="596"/>
      <c r="E34" s="596"/>
      <c r="F34" s="596"/>
      <c r="G34" s="596"/>
      <c r="H34" s="596"/>
      <c r="I34" s="596"/>
      <c r="J34" s="596"/>
      <c r="K34" s="596"/>
      <c r="L34" s="579"/>
      <c r="M34" s="579"/>
      <c r="N34" s="579"/>
      <c r="O34" s="580"/>
      <c r="P34" s="580"/>
    </row>
    <row r="35" spans="1:27" s="534" customFormat="1" ht="45">
      <c r="A35" s="597" t="s">
        <v>276</v>
      </c>
      <c r="B35" s="626" t="s">
        <v>89</v>
      </c>
      <c r="C35" s="626" t="s">
        <v>90</v>
      </c>
      <c r="D35" s="626" t="s">
        <v>91</v>
      </c>
      <c r="E35" s="626" t="s">
        <v>92</v>
      </c>
      <c r="F35" s="626" t="s">
        <v>93</v>
      </c>
      <c r="G35" s="626" t="s">
        <v>94</v>
      </c>
      <c r="H35" s="626" t="s">
        <v>95</v>
      </c>
      <c r="I35" s="626" t="s">
        <v>96</v>
      </c>
      <c r="J35" s="626" t="s">
        <v>97</v>
      </c>
      <c r="K35" s="626" t="s">
        <v>98</v>
      </c>
      <c r="L35" s="626" t="s">
        <v>99</v>
      </c>
      <c r="M35" s="627" t="s">
        <v>293</v>
      </c>
      <c r="N35" s="627" t="s">
        <v>100</v>
      </c>
      <c r="O35" s="627" t="s">
        <v>101</v>
      </c>
      <c r="P35" s="627" t="s">
        <v>541</v>
      </c>
      <c r="Q35" s="627" t="s">
        <v>102</v>
      </c>
      <c r="R35" s="627" t="s">
        <v>103</v>
      </c>
      <c r="S35" s="627" t="s">
        <v>104</v>
      </c>
      <c r="T35" s="627" t="s">
        <v>105</v>
      </c>
      <c r="U35" s="627" t="s">
        <v>106</v>
      </c>
      <c r="V35" s="627" t="s">
        <v>107</v>
      </c>
      <c r="W35" s="626" t="s">
        <v>108</v>
      </c>
      <c r="X35" s="626" t="s">
        <v>294</v>
      </c>
      <c r="Y35" s="626" t="s">
        <v>109</v>
      </c>
      <c r="Z35" s="628" t="s">
        <v>295</v>
      </c>
    </row>
    <row r="36" spans="1:27" s="598" customFormat="1" ht="12.75">
      <c r="A36" s="584"/>
      <c r="B36" s="777"/>
      <c r="C36" s="777"/>
      <c r="D36" s="632"/>
      <c r="E36" s="632"/>
      <c r="F36" s="632"/>
      <c r="G36" s="632"/>
      <c r="H36" s="632"/>
      <c r="I36" s="632"/>
      <c r="J36" s="776"/>
      <c r="K36" s="776"/>
      <c r="L36" s="632"/>
      <c r="M36" s="632"/>
      <c r="N36" s="632"/>
      <c r="O36" s="632"/>
      <c r="P36" s="632"/>
      <c r="Q36" s="632"/>
      <c r="R36" s="632"/>
      <c r="S36" s="632"/>
      <c r="T36" s="632"/>
      <c r="U36" s="632"/>
      <c r="V36" s="632"/>
      <c r="W36" s="632"/>
      <c r="X36" s="632"/>
      <c r="Y36" s="632"/>
      <c r="Z36" s="633"/>
    </row>
    <row r="37" spans="1:27" s="565" customFormat="1">
      <c r="A37" s="585" t="s">
        <v>275</v>
      </c>
      <c r="B37" s="586"/>
      <c r="C37" s="586"/>
      <c r="D37" s="586"/>
      <c r="E37" s="586"/>
      <c r="F37" s="586"/>
      <c r="G37" s="586"/>
      <c r="H37" s="586"/>
      <c r="I37" s="586"/>
      <c r="J37" s="586"/>
      <c r="K37" s="586"/>
      <c r="L37" s="587"/>
      <c r="M37" s="587">
        <f>SUM(M36:M36)</f>
        <v>0</v>
      </c>
      <c r="N37" s="587">
        <f>SUM(N36:N36)</f>
        <v>0</v>
      </c>
      <c r="O37" s="587">
        <f>SUM(O36:O36)</f>
        <v>0</v>
      </c>
      <c r="P37" s="587">
        <f>SUM(P36:P36)</f>
        <v>0</v>
      </c>
      <c r="Q37" s="587">
        <f>SUM(Q36:Q36)</f>
        <v>0</v>
      </c>
      <c r="R37" s="587">
        <f>SUM(R36:R36)</f>
        <v>0</v>
      </c>
      <c r="S37" s="587">
        <f>SUM(S36:S36)</f>
        <v>0</v>
      </c>
      <c r="T37" s="587">
        <f>SUM(T36:T36)</f>
        <v>0</v>
      </c>
      <c r="U37" s="587">
        <f>SUM(U36:U36)</f>
        <v>0</v>
      </c>
      <c r="V37" s="587">
        <f>SUM(V36:V36)</f>
        <v>0</v>
      </c>
      <c r="W37" s="587">
        <f>SUM(W36:W36)</f>
        <v>0</v>
      </c>
      <c r="X37" s="588"/>
      <c r="Y37" s="588"/>
      <c r="Z37" s="589"/>
    </row>
    <row r="38" spans="1:27" s="565" customFormat="1">
      <c r="A38" s="585" t="s">
        <v>282</v>
      </c>
      <c r="B38" s="586"/>
      <c r="C38" s="586"/>
      <c r="D38" s="586"/>
      <c r="E38" s="586"/>
      <c r="F38" s="586"/>
      <c r="G38" s="586"/>
      <c r="H38" s="586"/>
      <c r="I38" s="586"/>
      <c r="J38" s="586"/>
      <c r="K38" s="586"/>
      <c r="L38" s="587"/>
      <c r="M38" s="587">
        <f>SUMIF($Z$36:$Z$36,"industrie",M36:M36)</f>
        <v>0</v>
      </c>
      <c r="N38" s="587">
        <f>SUMIF($Z$36:$Z$36,"industrie",N36:N36)</f>
        <v>0</v>
      </c>
      <c r="O38" s="587">
        <f>SUMIF($Z$36:$Z$36,"industrie",O36:O36)</f>
        <v>0</v>
      </c>
      <c r="P38" s="587">
        <f>SUMIF($Z$36:$Z$36,"industrie",P36:P36)</f>
        <v>0</v>
      </c>
      <c r="Q38" s="587">
        <f>SUMIF($Z$36:$Z$36,"industrie",Q36:Q36)</f>
        <v>0</v>
      </c>
      <c r="R38" s="587">
        <f>SUMIF($Z$36:$Z$36,"industrie",R36:R36)</f>
        <v>0</v>
      </c>
      <c r="S38" s="587">
        <f>SUMIF($Z$36:$Z$36,"industrie",S36:S36)</f>
        <v>0</v>
      </c>
      <c r="T38" s="587">
        <f>SUMIF($Z$36:$Z$36,"industrie",T36:T36)</f>
        <v>0</v>
      </c>
      <c r="U38" s="587">
        <f>SUMIF($Z$36:$Z$36,"industrie",U36:U36)</f>
        <v>0</v>
      </c>
      <c r="V38" s="587">
        <f>SUMIF($Z$36:$Z$36,"industrie",V36:V36)</f>
        <v>0</v>
      </c>
      <c r="W38" s="587">
        <f>SUMIF($Z$36:$Z$36,"industrie",W36:W36)</f>
        <v>0</v>
      </c>
      <c r="X38" s="588"/>
      <c r="Y38" s="588"/>
      <c r="Z38" s="589"/>
    </row>
    <row r="39" spans="1:27" s="565" customFormat="1">
      <c r="A39" s="585" t="s">
        <v>283</v>
      </c>
      <c r="B39" s="586"/>
      <c r="C39" s="586"/>
      <c r="D39" s="586"/>
      <c r="E39" s="586"/>
      <c r="F39" s="586"/>
      <c r="G39" s="586"/>
      <c r="H39" s="586"/>
      <c r="I39" s="586"/>
      <c r="J39" s="586"/>
      <c r="K39" s="586"/>
      <c r="L39" s="587"/>
      <c r="M39" s="587">
        <f>SUMIF($Z$36:$Z$37,"tertiair",M36:M37)</f>
        <v>0</v>
      </c>
      <c r="N39" s="587">
        <f>SUMIF($Z$36:$Z$37,"tertiair",N36:N37)</f>
        <v>0</v>
      </c>
      <c r="O39" s="587">
        <f>SUMIF($Z$36:$Z$37,"tertiair",O36:O37)</f>
        <v>0</v>
      </c>
      <c r="P39" s="587">
        <f>SUMIF($Z$36:$Z$37,"tertiair",P36:P37)</f>
        <v>0</v>
      </c>
      <c r="Q39" s="587">
        <f>SUMIF($Z$36:$Z$37,"tertiair",Q36:Q37)</f>
        <v>0</v>
      </c>
      <c r="R39" s="587">
        <f>SUMIF($Z$36:$Z$37,"tertiair",R36:R37)</f>
        <v>0</v>
      </c>
      <c r="S39" s="587">
        <f>SUMIF($Z$36:$Z$37,"tertiair",S36:S37)</f>
        <v>0</v>
      </c>
      <c r="T39" s="587">
        <f>SUMIF($Z$36:$Z$37,"tertiair",T36:T37)</f>
        <v>0</v>
      </c>
      <c r="U39" s="587">
        <f>SUMIF($Z$36:$Z$37,"tertiair",U36:U37)</f>
        <v>0</v>
      </c>
      <c r="V39" s="587">
        <f>SUMIF($Z$36:$Z$37,"tertiair",V36:V37)</f>
        <v>0</v>
      </c>
      <c r="W39" s="587">
        <f>SUMIF($Z$36:$Z$37,"tertiair",W36:W37)</f>
        <v>0</v>
      </c>
      <c r="X39" s="588"/>
      <c r="Y39" s="588"/>
      <c r="Z39" s="589"/>
    </row>
    <row r="40" spans="1:27" s="565" customFormat="1" ht="15.75" thickBot="1">
      <c r="A40" s="590" t="s">
        <v>284</v>
      </c>
      <c r="B40" s="591"/>
      <c r="C40" s="591"/>
      <c r="D40" s="591"/>
      <c r="E40" s="591"/>
      <c r="F40" s="591"/>
      <c r="G40" s="591"/>
      <c r="H40" s="591"/>
      <c r="I40" s="591"/>
      <c r="J40" s="591"/>
      <c r="K40" s="591"/>
      <c r="L40" s="592"/>
      <c r="M40" s="592">
        <f>SUMIF($Z$36:$Z$38,"landbouw",M36:M38)</f>
        <v>0</v>
      </c>
      <c r="N40" s="592">
        <f>SUMIF($Z$36:$Z$38,"landbouw",N36:N38)</f>
        <v>0</v>
      </c>
      <c r="O40" s="592">
        <f>SUMIF($Z$36:$Z$38,"landbouw",O36:O38)</f>
        <v>0</v>
      </c>
      <c r="P40" s="592">
        <f>SUMIF($Z$36:$Z$38,"landbouw",P36:P38)</f>
        <v>0</v>
      </c>
      <c r="Q40" s="592">
        <f>SUMIF($Z$36:$Z$38,"landbouw",Q36:Q38)</f>
        <v>0</v>
      </c>
      <c r="R40" s="592">
        <f>SUMIF($Z$36:$Z$38,"landbouw",R36:R38)</f>
        <v>0</v>
      </c>
      <c r="S40" s="592">
        <f>SUMIF($Z$36:$Z$38,"landbouw",S36:S38)</f>
        <v>0</v>
      </c>
      <c r="T40" s="592">
        <f>SUMIF($Z$36:$Z$38,"landbouw",T36:T38)</f>
        <v>0</v>
      </c>
      <c r="U40" s="592">
        <f>SUMIF($Z$36:$Z$38,"landbouw",U36:U38)</f>
        <v>0</v>
      </c>
      <c r="V40" s="592">
        <f>SUMIF($Z$36:$Z$38,"landbouw",V36:V38)</f>
        <v>0</v>
      </c>
      <c r="W40" s="592">
        <f>SUMIF($Z$36:$Z$38,"landbouw",W36:W38)</f>
        <v>0</v>
      </c>
      <c r="X40" s="593"/>
      <c r="Y40" s="593"/>
      <c r="Z40" s="594"/>
    </row>
    <row r="41" spans="1:27" s="599" customForma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row>
    <row r="42" spans="1:27" s="599" customFormat="1" ht="15.75" thickBo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row>
    <row r="43" spans="1:27">
      <c r="A43" s="600" t="s">
        <v>277</v>
      </c>
      <c r="B43" s="601"/>
      <c r="C43" s="601"/>
      <c r="D43" s="601"/>
      <c r="E43" s="601"/>
      <c r="F43" s="601"/>
      <c r="G43" s="601"/>
      <c r="H43" s="601"/>
      <c r="I43" s="602"/>
      <c r="J43" s="603"/>
      <c r="K43" s="603"/>
      <c r="L43" s="604"/>
      <c r="M43" s="604"/>
      <c r="N43" s="604"/>
      <c r="O43" s="604"/>
      <c r="P43" s="604"/>
    </row>
    <row r="44" spans="1:27">
      <c r="A44" s="606"/>
      <c r="B44" s="596"/>
      <c r="C44" s="596"/>
      <c r="D44" s="596"/>
      <c r="E44" s="596"/>
      <c r="F44" s="596"/>
      <c r="G44" s="596"/>
      <c r="H44" s="596"/>
      <c r="I44" s="607"/>
      <c r="J44" s="596"/>
      <c r="K44" s="596"/>
      <c r="L44" s="604"/>
      <c r="M44" s="604"/>
      <c r="N44" s="604"/>
      <c r="O44" s="604"/>
      <c r="P44" s="604"/>
    </row>
    <row r="45" spans="1:27">
      <c r="A45" s="608"/>
      <c r="B45" s="609" t="s">
        <v>278</v>
      </c>
      <c r="C45" s="609" t="s">
        <v>279</v>
      </c>
      <c r="D45" s="609"/>
      <c r="E45" s="609"/>
      <c r="F45" s="609"/>
      <c r="G45" s="609"/>
      <c r="H45" s="609"/>
      <c r="I45" s="610"/>
      <c r="J45" s="609"/>
      <c r="K45" s="609"/>
      <c r="L45" s="609"/>
      <c r="M45" s="609"/>
      <c r="N45" s="609"/>
      <c r="O45" s="609"/>
      <c r="P45" s="604"/>
    </row>
    <row r="46" spans="1:27">
      <c r="A46" s="606" t="s">
        <v>275</v>
      </c>
      <c r="B46" s="611">
        <f>IF(ISERROR(O30/(O30+N30)),0,O30/(O30+N30))</f>
        <v>0.58823529411764708</v>
      </c>
      <c r="C46" s="612">
        <f>IF(ISERROR(N30/(O30+N30)),0,N30/(N30+O30))</f>
        <v>0.41176470588235292</v>
      </c>
      <c r="D46" s="579"/>
      <c r="E46" s="579"/>
      <c r="F46" s="579"/>
      <c r="G46" s="579"/>
      <c r="H46" s="579"/>
      <c r="I46" s="613"/>
      <c r="J46" s="579"/>
      <c r="K46" s="579"/>
      <c r="L46" s="614"/>
      <c r="M46" s="614"/>
      <c r="N46" s="614"/>
      <c r="O46" s="614"/>
      <c r="P46" s="604"/>
    </row>
    <row r="47" spans="1:27">
      <c r="A47" s="606"/>
      <c r="B47" s="615"/>
      <c r="C47" s="615"/>
      <c r="D47" s="615"/>
      <c r="E47" s="615"/>
      <c r="F47" s="615"/>
      <c r="G47" s="615"/>
      <c r="H47" s="615"/>
      <c r="I47" s="616"/>
      <c r="J47" s="615"/>
      <c r="K47" s="615"/>
      <c r="L47" s="617"/>
      <c r="M47" s="617"/>
      <c r="N47" s="617"/>
      <c r="O47" s="617"/>
      <c r="P47" s="604"/>
    </row>
    <row r="48" spans="1:27" ht="30">
      <c r="A48" s="618"/>
      <c r="B48" s="619" t="s">
        <v>541</v>
      </c>
      <c r="C48" s="619" t="s">
        <v>102</v>
      </c>
      <c r="D48" s="619" t="s">
        <v>103</v>
      </c>
      <c r="E48" s="619" t="s">
        <v>104</v>
      </c>
      <c r="F48" s="619" t="s">
        <v>105</v>
      </c>
      <c r="G48" s="619" t="s">
        <v>106</v>
      </c>
      <c r="H48" s="619" t="s">
        <v>107</v>
      </c>
      <c r="I48" s="620" t="s">
        <v>108</v>
      </c>
      <c r="J48" s="609"/>
      <c r="K48" s="609"/>
      <c r="L48" s="617"/>
      <c r="M48" s="617"/>
      <c r="N48" s="617"/>
      <c r="O48" s="604"/>
      <c r="P48" s="604"/>
    </row>
    <row r="49" spans="1:16">
      <c r="A49" s="608" t="s">
        <v>280</v>
      </c>
      <c r="B49" s="621">
        <f t="shared" ref="B49:I49" si="2">$C$46*P30</f>
        <v>15273.529411764706</v>
      </c>
      <c r="C49" s="621">
        <f t="shared" si="2"/>
        <v>0</v>
      </c>
      <c r="D49" s="621">
        <f t="shared" si="2"/>
        <v>0</v>
      </c>
      <c r="E49" s="621">
        <f t="shared" si="2"/>
        <v>0</v>
      </c>
      <c r="F49" s="621">
        <f t="shared" si="2"/>
        <v>0</v>
      </c>
      <c r="G49" s="621">
        <f t="shared" si="2"/>
        <v>0</v>
      </c>
      <c r="H49" s="621">
        <f t="shared" si="2"/>
        <v>0</v>
      </c>
      <c r="I49" s="622">
        <f t="shared" si="2"/>
        <v>0</v>
      </c>
      <c r="J49" s="579"/>
      <c r="K49" s="579"/>
      <c r="L49" s="617"/>
      <c r="M49" s="617"/>
      <c r="N49" s="617"/>
      <c r="O49" s="604"/>
      <c r="P49" s="604"/>
    </row>
    <row r="50" spans="1:16" ht="15.75" thickBot="1">
      <c r="A50" s="623" t="s">
        <v>281</v>
      </c>
      <c r="B50" s="624">
        <f t="shared" ref="B50:I50" si="3">$B$46*P30</f>
        <v>21819.327731092439</v>
      </c>
      <c r="C50" s="624">
        <f t="shared" si="3"/>
        <v>0</v>
      </c>
      <c r="D50" s="624">
        <f t="shared" si="3"/>
        <v>0</v>
      </c>
      <c r="E50" s="624">
        <f t="shared" si="3"/>
        <v>0</v>
      </c>
      <c r="F50" s="624">
        <f t="shared" si="3"/>
        <v>0</v>
      </c>
      <c r="G50" s="624">
        <f t="shared" si="3"/>
        <v>0</v>
      </c>
      <c r="H50" s="624">
        <f t="shared" si="3"/>
        <v>0</v>
      </c>
      <c r="I50" s="625">
        <f t="shared" si="3"/>
        <v>0</v>
      </c>
      <c r="J50" s="579"/>
      <c r="K50" s="579"/>
      <c r="L50" s="617"/>
      <c r="M50" s="617"/>
      <c r="N50" s="617"/>
      <c r="O50" s="604"/>
      <c r="P50" s="604"/>
    </row>
    <row r="51" spans="1:16">
      <c r="J51" s="563"/>
      <c r="K51" s="563"/>
      <c r="L51" s="563"/>
      <c r="M51" s="563"/>
      <c r="N51" s="563"/>
    </row>
    <row r="52" spans="1:16">
      <c r="J52" s="563"/>
      <c r="K52" s="563"/>
      <c r="L52" s="563"/>
      <c r="M52" s="563"/>
      <c r="N52"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2021-06-29T16:44:16Z</dcterms:modified>
</cp:coreProperties>
</file>