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<sst xmlns="http://schemas.openxmlformats.org/spreadsheetml/2006/main" count="2583" uniqueCount="976">
  <si>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</si>
  <si>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</si>
  <si>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</si>
  <si>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</si>
  <si>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</si>
  <si>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</si>
  <si>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</si>
  <si>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</si>
  <si>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</si>
  <si>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</si>
  <si>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</si>
  <si>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</si>
  <si>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</si>
  <si>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</si>
  <si>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</si>
  <si>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</si>
  <si>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</si>
  <si>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</si>
  <si>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</si>
  <si>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</si>
  <si>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</si>
  <si>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</si>
  <si>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</si>
  <si>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</si>
  <si>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</si>
  <si>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</si>
  <si>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</si>
  <si>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</si>
  <si>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</si>
  <si>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</si>
  <si>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</si>
  <si>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</si>
  <si>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</si>
  <si>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</si>
  <si>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</si>
  <si>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</si>
  <si>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</si>
  <si>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</si>
  <si>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</si>
  <si>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</si>
  <si>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</si>
  <si>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</si>
  <si>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</si>
  <si>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</si>
  <si>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</si>
  <si>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</si>
  <si>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</si>
  <si>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</si>
  <si>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</si>
  <si>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</si>
  <si>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</si>
  <si>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</si>
  <si>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</si>
  <si>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</si>
  <si>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</si>
  <si>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</si>
  <si>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</si>
  <si>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</si>
  <si>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</si>
  <si>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</si>
  <si>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</si>
  <si>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</si>
  <si>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</si>
  <si>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</si>
  <si>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</si>
  <si>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</si>
  <si>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</si>
  <si>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</si>
  <si>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</si>
  <si>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</si>
  <si>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</si>
  <si>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</si>
  <si>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</si>
  <si>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</si>
  <si>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</si>
  <si>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</si>
  <si>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</si>
  <si>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</si>
  <si>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</si>
  <si>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</si>
  <si>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</si>
  <si>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</si>
  <si>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</si>
  <si>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</si>
  <si>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</si>
  <si>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</si>
  <si>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</si>
  <si>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</si>
  <si>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</si>
  <si>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</si>
  <si>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</si>
  <si>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</si>
  <si>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</si>
  <si>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</si>
  <si>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</si>
  <si>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</si>
  <si>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</si>
  <si>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</si>
  <si>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</si>
  <si>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</si>
  <si>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</si>
  <si>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</si>
  <si>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</si>
  <si>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</si>
  <si>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</si>
  <si>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</si>
  <si>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</si>
  <si>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</si>
  <si>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</si>
  <si>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</si>
  <si>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</si>
  <si>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</si>
  <si>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</si>
  <si>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</si>
  <si>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</si>
  <si>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</si>
  <si>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</si>
  <si>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</si>
  <si>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</si>
  <si>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</si>
  <si>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</si>
  <si>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</si>
  <si>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</si>
  <si>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</si>
  <si>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</si>
  <si>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</si>
  <si>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</si>
  <si>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</si>
  <si>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</si>
  <si>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</si>
  <si>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</si>
  <si>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</si>
  <si>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</si>
  <si>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</si>
  <si>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</si>
  <si>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</si>
  <si>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</si>
  <si>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</si>
  <si>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</si>
  <si>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</si>
  <si>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</si>
  <si>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</si>
  <si>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</si>
  <si>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</si>
  <si>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</si>
  <si>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</si>
  <si>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</si>
  <si>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</si>
  <si>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</si>
  <si>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</si>
  <si>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</si>
  <si>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</si>
  <si>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</si>
  <si>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</si>
  <si>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</si>
  <si>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</si>
  <si>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</si>
  <si>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</si>
  <si>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</si>
  <si>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</si>
  <si>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</si>
  <si>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</si>
  <si>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</si>
  <si>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</si>
  <si>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</si>
  <si>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</si>
  <si>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</si>
  <si>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</si>
  <si>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</si>
  <si>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</si>
  <si>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</si>
  <si>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</si>
  <si>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</si>
  <si>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</si>
  <si>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</si>
  <si>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</si>
  <si>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</si>
  <si>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</si>
  <si>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</si>
  <si>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</si>
  <si>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</si>
  <si>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</si>
  <si>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</si>
  <si>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</si>
  <si>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</si>
  <si>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</si>
  <si>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</si>
  <si>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</si>
  <si>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</si>
  <si>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</si>
  <si>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</si>
  <si>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</si>
  <si>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</si>
  <si>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</si>
  <si>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</si>
  <si>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</si>
  <si>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</si>
  <si>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</si>
  <si>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</si>
  <si>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</si>
  <si>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</si>
  <si>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</si>
  <si>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</si>
  <si>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</si>
  <si>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</si>
  <si>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</si>
  <si>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</si>
  <si>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</si>
  <si>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</si>
  <si>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</si>
  <si>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</si>
  <si>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</si>
  <si>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</si>
  <si>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</si>
  <si>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</si>
  <si>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</si>
  <si>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</si>
  <si>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</si>
  <si>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</si>
  <si>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</si>
  <si>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</si>
  <si>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</si>
  <si>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</si>
  <si>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</si>
  <si>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</si>
  <si>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</si>
  <si>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</si>
  <si>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</si>
  <si>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</si>
  <si>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</si>
  <si>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</si>
  <si>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</si>
  <si>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</si>
  <si>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</si>
  <si>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</si>
  <si>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</si>
  <si>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</si>
  <si>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</si>
  <si>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</si>
  <si>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</si>
  <si>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</si>
  <si>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</si>
  <si>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</si>
  <si>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</si>
  <si>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</si>
  <si>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</si>
  <si>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</si>
  <si>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</si>
  <si>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</si>
  <si>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</si>
  <si>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</si>
  <si>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</si>
  <si>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</si>
  <si>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</si>
  <si>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</si>
  <si>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</si>
  <si>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</si>
  <si>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</si>
  <si>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</si>
  <si>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</si>
  <si>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</si>
  <si>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</si>
  <si>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</si>
  <si>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</si>
  <si>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</si>
  <si>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</si>
  <si>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</si>
  <si>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</si>
  <si>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</si>
  <si>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</si>
  <si>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</si>
  <si>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</si>
  <si>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</si>
  <si>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</si>
  <si>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</si>
  <si>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</si>
  <si>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</si>
  <si>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</si>
  <si>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</si>
  <si>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</si>
  <si>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</si>
  <si>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</si>
  <si>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</si>
  <si>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</si>
  <si>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</si>
  <si>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</si>
  <si>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</si>
  <si>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</si>
  <si>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</si>
  <si>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</si>
  <si>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</si>
  <si>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</si>
  <si>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</si>
  <si>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</si>
  <si>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</si>
  <si>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</si>
  <si>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</si>
  <si>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</si>
  <si>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</si>
  <si>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</si>
  <si>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</si>
  <si>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</si>
  <si>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</si>
  <si>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</si>
  <si>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</si>
  <si>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</si>
  <si>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</si>
  <si>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</si>
  <si>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</si>
  <si>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</si>
  <si>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</si>
  <si>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</si>
  <si>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</si>
  <si>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</si>
  <si>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</si>
  <si>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</si>
  <si>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</si>
  <si>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</si>
  <si>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</si>
  <si>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</si>
  <si>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</si>
  <si>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</si>
  <si>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</si>
  <si>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</si>
  <si>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</si>
  <si>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</si>
  <si>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</si>
  <si>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</si>
  <si>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</si>
  <si>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</si>
  <si>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</si>
  <si>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</si>
  <si>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</si>
  <si>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</si>
  <si>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</si>
  <si>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</si>
  <si>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</si>
  <si>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</si>
  <si>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</si>
  <si>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</si>
  <si>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</si>
  <si>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</si>
  <si>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</si>
  <si>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</si>
  <si>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</si>
  <si>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</si>
  <si>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</si>
  <si>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</si>
  <si>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</si>
  <si>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</si>
  <si>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</si>
  <si>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</si>
  <si>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</si>
  <si>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</si>
  <si>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</si>
  <si>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</si>
  <si>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</si>
  <si>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</si>
  <si>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</si>
  <si>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</si>
  <si>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</si>
  <si>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</si>
  <si>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</si>
  <si>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</si>
  <si>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</si>
  <si>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</si>
  <si>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</si>
  <si>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</si>
  <si>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</si>
  <si>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</si>
  <si>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</si>
  <si>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</si>
  <si>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</si>
  <si>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</si>
  <si>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</si>
  <si>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</si>
  <si>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</si>
  <si>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</si>
  <si>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</si>
  <si>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</si>
  <si>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</si>
  <si>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</si>
  <si>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</si>
  <si>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</si>
  <si>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</si>
  <si>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</si>
  <si>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</si>
  <si>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</si>
  <si>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</si>
  <si>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</si>
  <si>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</si>
  <si>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</si>
  <si>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</si>
  <si>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</si>
  <si>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</si>
  <si>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</si>
  <si>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</si>
  <si>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</si>
  <si>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</si>
  <si>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</si>
  <si>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</si>
  <si>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</si>
  <si>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</si>
  <si>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</si>
  <si>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</si>
  <si>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</si>
  <si>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</si>
  <si>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</si>
  <si>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</si>
  <si>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</si>
  <si>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</si>
  <si>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</si>
  <si>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</si>
  <si>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</si>
  <si>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</si>
  <si>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</si>
  <si>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</si>
  <si>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</si>
  <si>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</si>
  <si>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</si>
  <si>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</si>
  <si>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</si>
  <si>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</si>
  <si>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</si>
  <si>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</si>
  <si>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</si>
  <si>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</si>
  <si>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</si>
  <si>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</si>
  <si>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</si>
  <si>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</si>
  <si>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</si>
  <si>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</si>
  <si>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</si>
  <si>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</si>
  <si>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</si>
  <si>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</si>
  <si>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</si>
  <si>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</si>
  <si>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</si>
  <si>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</si>
  <si>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</si>
  <si>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</si>
  <si>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</si>
  <si>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</si>
  <si>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</si>
  <si>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</si>
  <si>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</si>
  <si>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</si>
  <si>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</si>
  <si>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</si>
  <si>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</si>
  <si>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</si>
  <si>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</si>
  <si>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</si>
  <si>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</si>
  <si>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</si>
  <si>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</si>
  <si>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</si>
  <si>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</si>
  <si>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</si>
  <si>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</si>
  <si>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</si>
  <si>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</si>
  <si>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</si>
  <si>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</si>
  <si>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</si>
  <si>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</si>
  <si>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</si>
  <si>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</si>
  <si>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</si>
  <si>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</si>
  <si>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</si>
  <si>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</si>
  <si>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</si>
  <si>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</si>
  <si>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</si>
  <si>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</si>
  <si>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</si>
  <si>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</si>
  <si>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</si>
  <si>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</si>
  <si>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</si>
  <si>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</si>
  <si>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</si>
  <si>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</si>
  <si>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</si>
  <si>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</si>
  <si>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</si>
  <si>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</si>
  <si>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</si>
  <si>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</si>
  <si>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</si>
  <si>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</si>
  <si>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</si>
  <si>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</si>
  <si>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</si>
  <si>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</si>
  <si>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</si>
  <si>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</si>
  <si>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</si>
  <si>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</si>
  <si>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</si>
  <si>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</si>
  <si>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</si>
  <si>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</si>
  <si>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</si>
  <si>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</si>
  <si>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</si>
  <si>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</si>
  <si>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</si>
  <si>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</si>
  <si>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</si>
  <si>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</si>
  <si>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</si>
  <si>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</si>
  <si>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</si>
  <si>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</si>
  <si>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</si>
  <si>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</si>
  <si>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</si>
  <si>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</si>
  <si>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</si>
  <si>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</si>
  <si>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</si>
  <si>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</si>
  <si>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</si>
  <si>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</si>
  <si>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</si>
  <si>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</si>
  <si>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</si>
  <si>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</si>
  <si>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</si>
  <si>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</si>
  <si>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</si>
  <si>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</si>
  <si>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</si>
  <si>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</si>
  <si>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</si>
  <si>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</si>
  <si>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</si>
  <si>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</si>
  <si>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</si>
  <si>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</si>
  <si>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</si>
  <si>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</si>
  <si>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</si>
  <si>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</si>
  <si>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</si>
  <si>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</si>
  <si>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</si>
  <si>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</si>
  <si>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</si>
  <si>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</si>
  <si>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</si>
  <si>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</si>
  <si>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</si>
  <si>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</si>
  <si>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</si>
  <si>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</si>
  <si>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</si>
  <si>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</si>
  <si>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</si>
  <si>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</si>
  <si>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</si>
  <si>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</si>
  <si>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</si>
  <si>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</si>
  <si>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</si>
  <si>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</si>
  <si>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</si>
  <si>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</si>
  <si>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</si>
  <si>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</si>
  <si>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</si>
  <si>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</si>
  <si>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</si>
  <si>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</si>
  <si>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</si>
  <si>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</si>
  <si>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</si>
  <si>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</si>
  <si>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</si>
  <si>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</si>
  <si>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</si>
  <si>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</si>
  <si>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</si>
  <si>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</si>
  <si>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</si>
  <si>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</si>
  <si>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</si>
  <si>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</si>
  <si>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</si>
  <si>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</si>
  <si>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</si>
  <si>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</si>
  <si>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</si>
  <si>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</si>
  <si>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</si>
  <si>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</si>
  <si>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</si>
  <si>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</si>
  <si>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</si>
  <si>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</si>
  <si>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</si>
  <si>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</si>
  <si>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</si>
  <si>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</si>
  <si>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</si>
  <si>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</si>
  <si>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</si>
  <si>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</si>
  <si>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</si>
  <si>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</si>
  <si>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</si>
  <si>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</si>
  <si>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</si>
  <si>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</si>
  <si>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</si>
  <si>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</si>
  <si>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</si>
  <si>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</si>
  <si>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</si>
  <si>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</si>
  <si>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</si>
  <si>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</si>
  <si>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</si>
  <si>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</si>
  <si>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</si>
  <si>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</si>
  <si>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</si>
  <si>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</si>
  <si>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</si>
  <si>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</si>
  <si>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</si>
  <si>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</si>
  <si>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</si>
  <si>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</si>
  <si>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</si>
  <si>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</si>
  <si>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</si>
  <si>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</si>
  <si>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</si>
  <si>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</si>
  <si>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</si>
  <si>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</si>
  <si>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</si>
  <si>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</si>
  <si>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</si>
  <si>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</si>
  <si>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</si>
  <si>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</si>
  <si>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</si>
  <si>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</si>
  <si>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</si>
  <si>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</si>
  <si>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</si>
  <si>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</si>
  <si>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</si>
  <si>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</si>
  <si>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</si>
  <si>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</si>
  <si>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</si>
  <si>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</si>
  <si>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</si>
  <si>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</si>
  <si>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</si>
  <si>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</si>
  <si>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</si>
  <si>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</si>
  <si>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</si>
  <si>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</si>
  <si>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</si>
  <si>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</si>
  <si>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</si>
  <si>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</si>
  <si>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</si>
  <si>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</si>
  <si>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</si>
  <si>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</si>
  <si>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</si>
  <si>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</si>
  <si>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</si>
  <si>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</si>
  <si>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</si>
  <si>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</si>
  <si>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</si>
  <si>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</si>
  <si>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</si>
  <si>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</si>
  <si>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</si>
  <si>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</si>
  <si>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</si>
  <si>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</si>
  <si>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</si>
  <si>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</si>
  <si>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</si>
  <si>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</si>
  <si>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</si>
  <si>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</si>
  <si>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</si>
  <si>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</si>
  <si>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</si>
  <si>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</si>
  <si>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</si>
  <si>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</si>
  <si>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</si>
  <si>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</si>
  <si>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</si>
  <si>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</si>
  <si>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</si>
  <si>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</si>
  <si>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</si>
  <si>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</si>
  <si>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</si>
  <si>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</si>
  <si>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</si>
  <si>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</si>
  <si>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</si>
  <si>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</si>
  <si>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</si>
  <si>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</si>
  <si>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</si>
  <si>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</si>
  <si>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</si>
  <si>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</si>
  <si>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</si>
  <si>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</si>
  <si>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</si>
  <si>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</si>
  <si>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</si>
  <si>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</si>
  <si>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</si>
  <si>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</si>
  <si>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</si>
  <si>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</si>
  <si>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</si>
  <si>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</si>
  <si>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</si>
  <si>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</si>
  <si>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</si>
  <si>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</si>
  <si>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</si>
  <si>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</si>
  <si>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</si>
  <si>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</si>
  <si>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</si>
  <si>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</si>
  <si>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</si>
  <si>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</si>
  <si>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</si>
  <si>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</si>
  <si>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</si>
  <si>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</si>
  <si>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</si>
  <si>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</si>
  <si>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</si>
  <si>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</si>
  <si>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</si>
  <si>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</si>
  <si>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</si>
  <si>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</si>
  <si>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</si>
  <si>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</si>
  <si>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</si>
  <si>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</si>
  <si>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</si>
  <si>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</si>
  <si>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</si>
  <si>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</si>
  <si>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</si>
  <si>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</si>
  <si>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</si>
  <si>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</si>
  <si>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</si>
  <si>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</si>
  <si>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</si>
  <si>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</si>
  <si>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</si>
  <si>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</si>
  <si>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</si>
  <si>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</si>
  <si>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</si>
  <si>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</si>
  <si>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</si>
  <si>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</si>
  <si>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</si>
  <si>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</si>
  <si>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</si>
  <si>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</si>
  <si>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</si>
  <si>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</si>
  <si>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</si>
  <si>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</si>
  <si>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</si>
  <si>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</si>
  <si>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</si>
  <si>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</si>
  <si>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</si>
  <si>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</si>
  <si>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</si>
  <si>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</si>
  <si>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</si>
  <si>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</si>
  <si>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</si>
  <si>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</si>
  <si>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</si>
  <si>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</si>
  <si>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</si>
  <si>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</si>
  <si>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</si>
  <si>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</si>
  <si>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</si>
  <si>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</si>
  <si>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</si>
  <si>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</si>
  <si>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</si>
  <si>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</si>
  <si>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</si>
  <si>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</si>
  <si>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</si>
  <si>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</si>
  <si>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</si>
  <si>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</si>
  <si>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</si>
  <si>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</si>
  <si>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</si>
  <si>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</si>
  <si>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</si>
  <si>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</si>
  <si>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</si>
  <si>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</si>
  <si>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</si>
  <si>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</si>
  <si>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</si>
  <si>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</si>
  <si>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</si>
  <si>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</si>
  <si>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</si>
  <si>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</si>
  <si>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</si>
  <si>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</si>
  <si>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</si>
  <si>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</si>
  <si>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</si>
  <si>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</si>
  <si>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</si>
  <si>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</si>
  <si>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</si>
  <si>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</si>
  <si>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</si>
  <si>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</si>
  <si>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</si>
  <si>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</si>
  <si>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</si>
  <si>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</si>
  <si>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</si>
  <si>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</si>
  <si>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</si>
  <si>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</si>
  <si>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</si>
  <si>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</si>
  <si>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</si>
  <si>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</si>
  <si>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</si>
  <si>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</si>
  <si>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</si>
  <si>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</si>
  <si>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</si>
  <si>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</si>
  <si>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</si>
  <si>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</si>
  <si>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</si>
  <si>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</si>
  <si>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</si>
  <si>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</si>
  <si>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</si>
  <si>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</si>
  <si>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</si>
  <si>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</si>
  <si>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</si>
  <si>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</si>
  <si>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</si>
  <si>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</si>
  <si>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</si>
  <si>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</si>
  <si>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</si>
  <si>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</si>
  <si>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</si>
  <si>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</si>
  <si>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</si>
  <si>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</si>
  <si>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</si>
  <si>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</si>
  <si>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</si>
  <si>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</si>
  <si>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</si>
  <si>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</si>
  <si>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</si>
  <si>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</si>
  <si>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</si>
  <si>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</si>
  <si>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</si>
  <si>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</si>
  <si>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</si>
  <si>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</si>
  <si>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</si>
  <si>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</si>
  <si>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</si>
  <si>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</si>
  <si>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</si>
  <si>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</si>
  <si>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</si>
  <si>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</si>
  <si>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</si>
  <si>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</si>
  <si>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</si>
  <si>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</si>
  <si>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</si>
  <si>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</si>
  <si>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</si>
  <si>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</si>
  <si>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</si>
  <si>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</si>
  <si>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</si>
  <si>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</si>
  <si>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</si>
  <si>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</si>
  <si>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</si>
  <si>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</si>
  <si>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</si>
  <si>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</si>
  <si>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</si>
  <si>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</si>
  <si>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</si>
  <si>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</si>
  <si>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</si>
  <si>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</si>
  <si>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</si>
  <si>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</si>
  <si>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</si>
  <si>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</si>
  <si>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</si>
  <si>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</si>
  <si>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</si>
  <si>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</si>
  <si>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</si>
  <si>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</si>
  <si>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</si>
  <si>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</si>
  <si>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</si>
  <si>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</si>
  <si>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</si>
  <si>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</si>
  <si>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</si>
  <si>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</si>
  <si>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</si>
  <si>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</si>
  <si>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</si>
  <si>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35005</t>
  </si>
  <si>
    <t>GISTEL</t>
  </si>
  <si>
    <t>Paarden&amp;pony's 200 - 600 kg</t>
  </si>
  <si>
    <t>Paarden&amp;pony's &lt; 200 kg</t>
  </si>
  <si>
    <t>Fluvius</t>
  </si>
  <si>
    <t>referentietaak LNE (2017); Jaarverslag De Lijn</t>
  </si>
  <si>
    <t>De Bazelaar GCV</t>
  </si>
  <si>
    <t>Zevekotestraat 107 , 8470 Zevekote</t>
  </si>
  <si>
    <t>WKK-0461 De Bazelaar</t>
  </si>
  <si>
    <t>interne verbrandingsmotor</t>
  </si>
  <si>
    <t>WKK interne verbrandinsgmotor (gas)</t>
  </si>
  <si>
    <t>Infrax West</t>
  </si>
  <si>
    <t>A.K. Gistel bvba</t>
  </si>
  <si>
    <t>Nieuwpoortsesteenweg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</si>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</sst>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35005</v>
      </c>
      <c r="B6" s="386"/>
      <c r="C6" s="387"/>
    </row>
    <row r="7" spans="1:7" s="384" customFormat="1" ht="15.75" customHeight="1">
      <c r="A7" s="388" t="str">
        <f>txtMunicipality</f>
        <v>GISTEL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14575.453</v>
      </c>
      <c r="D10" s="676">
        <f ca="1">tertiair!C16</f>
        <v>0</v>
      </c>
      <c r="E10" s="676">
        <f ca="1">tertiair!D16</f>
        <v>11664.829968</v>
      </c>
      <c r="F10" s="676">
        <f>tertiair!E16</f>
        <v>107.02570083936494</v>
      </c>
      <c r="G10" s="676">
        <f ca="1">tertiair!F16</f>
        <v>2993.9023365307598</v>
      </c>
      <c r="H10" s="676">
        <f>tertiair!G16</f>
        <v>0</v>
      </c>
      <c r="I10" s="676">
        <f>tertiair!H16</f>
        <v>0</v>
      </c>
      <c r="J10" s="676">
        <f>tertiair!I16</f>
        <v>0</v>
      </c>
      <c r="K10" s="676">
        <f>tertiair!J16</f>
        <v>0</v>
      </c>
      <c r="L10" s="676">
        <f>tertiair!K16</f>
        <v>0</v>
      </c>
      <c r="M10" s="676">
        <f ca="1">tertiair!L16</f>
        <v>0</v>
      </c>
      <c r="N10" s="676">
        <f>tertiair!M16</f>
        <v>0</v>
      </c>
      <c r="O10" s="676">
        <f ca="1">tertiair!N16</f>
        <v>1613.8035397799435</v>
      </c>
      <c r="P10" s="676">
        <f>tertiair!O16</f>
        <v>0</v>
      </c>
      <c r="Q10" s="677">
        <f>tertiair!P16</f>
        <v>0</v>
      </c>
      <c r="R10" s="679">
        <f ca="1">SUM(C10:Q10)</f>
        <v>30955.014545150065</v>
      </c>
      <c r="S10" s="68"/>
    </row>
    <row r="11" spans="1:19" s="445" customFormat="1">
      <c r="A11" s="791" t="s">
        <v>220</v>
      </c>
      <c r="B11" s="796"/>
      <c r="C11" s="676">
        <f>huishoudens!B8</f>
        <v>21627.678446410209</v>
      </c>
      <c r="D11" s="676">
        <f>huishoudens!C8</f>
        <v>0</v>
      </c>
      <c r="E11" s="676">
        <f>huishoudens!D8</f>
        <v>49758.713642000002</v>
      </c>
      <c r="F11" s="676">
        <f>huishoudens!E8</f>
        <v>821.50558657401177</v>
      </c>
      <c r="G11" s="676">
        <f>huishoudens!F8</f>
        <v>25045.320260871806</v>
      </c>
      <c r="H11" s="676">
        <f>huishoudens!G8</f>
        <v>0</v>
      </c>
      <c r="I11" s="676">
        <f>huishoudens!H8</f>
        <v>0</v>
      </c>
      <c r="J11" s="676">
        <f>huishoudens!I8</f>
        <v>0</v>
      </c>
      <c r="K11" s="676">
        <f>huishoudens!J8</f>
        <v>454.43860919601389</v>
      </c>
      <c r="L11" s="676">
        <f>huishoudens!K8</f>
        <v>0</v>
      </c>
      <c r="M11" s="676">
        <f>huishoudens!L8</f>
        <v>0</v>
      </c>
      <c r="N11" s="676">
        <f>huishoudens!M8</f>
        <v>0</v>
      </c>
      <c r="O11" s="676">
        <f>huishoudens!N8</f>
        <v>6781.3591431639588</v>
      </c>
      <c r="P11" s="676">
        <f>huishoudens!O8</f>
        <v>125.06666666666666</v>
      </c>
      <c r="Q11" s="677">
        <f>huishoudens!P8</f>
        <v>76.266666666666666</v>
      </c>
      <c r="R11" s="679">
        <f>SUM(C11:Q11)</f>
        <v>104690.34902154934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4240.107</v>
      </c>
      <c r="D13" s="676">
        <f>industrie!C18</f>
        <v>0</v>
      </c>
      <c r="E13" s="676">
        <f>industrie!D18</f>
        <v>6675.294296</v>
      </c>
      <c r="F13" s="676">
        <f>industrie!E18</f>
        <v>59.154553006694371</v>
      </c>
      <c r="G13" s="676">
        <f>industrie!F18</f>
        <v>1367.0992998395411</v>
      </c>
      <c r="H13" s="676">
        <f>industrie!G18</f>
        <v>0</v>
      </c>
      <c r="I13" s="676">
        <f>industrie!H18</f>
        <v>0</v>
      </c>
      <c r="J13" s="676">
        <f>industrie!I18</f>
        <v>0</v>
      </c>
      <c r="K13" s="676">
        <f>industrie!J18</f>
        <v>21.031468862020336</v>
      </c>
      <c r="L13" s="676">
        <f>industrie!K18</f>
        <v>0</v>
      </c>
      <c r="M13" s="676">
        <f>industrie!L18</f>
        <v>0</v>
      </c>
      <c r="N13" s="676">
        <f>industrie!M18</f>
        <v>0</v>
      </c>
      <c r="O13" s="676">
        <f>industrie!N18</f>
        <v>210.90514650108179</v>
      </c>
      <c r="P13" s="676">
        <f>industrie!O18</f>
        <v>0</v>
      </c>
      <c r="Q13" s="677">
        <f>industrie!P18</f>
        <v>0</v>
      </c>
      <c r="R13" s="679">
        <f>SUM(C13:Q13)</f>
        <v>12573.591764209337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40443.238446410207</v>
      </c>
      <c r="D16" s="709">
        <f t="shared" ref="D16:R16" ca="1" si="0">SUM(D9:D15)</f>
        <v>0</v>
      </c>
      <c r="E16" s="709">
        <f t="shared" ca="1" si="0"/>
        <v>68098.837906000001</v>
      </c>
      <c r="F16" s="709">
        <f t="shared" si="0"/>
        <v>987.68584042007114</v>
      </c>
      <c r="G16" s="709">
        <f t="shared" ca="1" si="0"/>
        <v>29406.321897242105</v>
      </c>
      <c r="H16" s="709">
        <f t="shared" si="0"/>
        <v>0</v>
      </c>
      <c r="I16" s="709">
        <f t="shared" si="0"/>
        <v>0</v>
      </c>
      <c r="J16" s="709">
        <f t="shared" si="0"/>
        <v>0</v>
      </c>
      <c r="K16" s="709">
        <f t="shared" si="0"/>
        <v>475.47007805803423</v>
      </c>
      <c r="L16" s="709">
        <f t="shared" si="0"/>
        <v>0</v>
      </c>
      <c r="M16" s="709">
        <f t="shared" ca="1" si="0"/>
        <v>0</v>
      </c>
      <c r="N16" s="709">
        <f t="shared" si="0"/>
        <v>0</v>
      </c>
      <c r="O16" s="709">
        <f t="shared" ca="1" si="0"/>
        <v>8606.0678294449845</v>
      </c>
      <c r="P16" s="709">
        <f t="shared" si="0"/>
        <v>125.06666666666666</v>
      </c>
      <c r="Q16" s="709">
        <f t="shared" si="0"/>
        <v>76.266666666666666</v>
      </c>
      <c r="R16" s="709">
        <f t="shared" ca="1" si="0"/>
        <v>148218.95533090874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7.34222707222031</v>
      </c>
      <c r="D19" s="676">
        <f>transport!C54</f>
        <v>0</v>
      </c>
      <c r="E19" s="676">
        <f>transport!D54</f>
        <v>0</v>
      </c>
      <c r="F19" s="676">
        <f>transport!E54</f>
        <v>0</v>
      </c>
      <c r="G19" s="676">
        <f>transport!F54</f>
        <v>0</v>
      </c>
      <c r="H19" s="676">
        <f>transport!G54</f>
        <v>1464.421665234813</v>
      </c>
      <c r="I19" s="676">
        <f>transport!H54</f>
        <v>0</v>
      </c>
      <c r="J19" s="676">
        <f>transport!I54</f>
        <v>0</v>
      </c>
      <c r="K19" s="676">
        <f>transport!J54</f>
        <v>0</v>
      </c>
      <c r="L19" s="676">
        <f>transport!K54</f>
        <v>0</v>
      </c>
      <c r="M19" s="676">
        <f>transport!L54</f>
        <v>0</v>
      </c>
      <c r="N19" s="676">
        <f>transport!M54</f>
        <v>64.72587790675388</v>
      </c>
      <c r="O19" s="676">
        <f>transport!N54</f>
        <v>0</v>
      </c>
      <c r="P19" s="676">
        <f>transport!O54</f>
        <v>0</v>
      </c>
      <c r="Q19" s="677">
        <f>transport!P54</f>
        <v>0</v>
      </c>
      <c r="R19" s="679">
        <f>SUM(C19:Q19)</f>
        <v>1536.4897702137871</v>
      </c>
      <c r="S19" s="68"/>
    </row>
    <row r="20" spans="1:19" s="445" customFormat="1">
      <c r="A20" s="791" t="s">
        <v>302</v>
      </c>
      <c r="B20" s="796"/>
      <c r="C20" s="676">
        <f>transport!B14</f>
        <v>6.5286325662820488</v>
      </c>
      <c r="D20" s="676">
        <f>transport!C14</f>
        <v>0</v>
      </c>
      <c r="E20" s="676">
        <f>transport!D14</f>
        <v>7.2421559440542591</v>
      </c>
      <c r="F20" s="676">
        <f>transport!E14</f>
        <v>525.25620335701558</v>
      </c>
      <c r="G20" s="676">
        <f>transport!F14</f>
        <v>0</v>
      </c>
      <c r="H20" s="676">
        <f>transport!G14</f>
        <v>146647.11228005929</v>
      </c>
      <c r="I20" s="676">
        <f>transport!H14</f>
        <v>18082.705969086725</v>
      </c>
      <c r="J20" s="676">
        <f>transport!I14</f>
        <v>0</v>
      </c>
      <c r="K20" s="676">
        <f>transport!J14</f>
        <v>0</v>
      </c>
      <c r="L20" s="676">
        <f>transport!K14</f>
        <v>0</v>
      </c>
      <c r="M20" s="676">
        <f>transport!L14</f>
        <v>0</v>
      </c>
      <c r="N20" s="676">
        <f>transport!M14</f>
        <v>7353.440011660301</v>
      </c>
      <c r="O20" s="676">
        <f>transport!N14</f>
        <v>0</v>
      </c>
      <c r="P20" s="676">
        <f>transport!O14</f>
        <v>0</v>
      </c>
      <c r="Q20" s="677">
        <f>transport!P14</f>
        <v>0</v>
      </c>
      <c r="R20" s="679">
        <f>SUM(C20:Q20)</f>
        <v>172622.28525267367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13.87085963850236</v>
      </c>
      <c r="D22" s="794">
        <f t="shared" ref="D22:R22" si="1">SUM(D18:D21)</f>
        <v>0</v>
      </c>
      <c r="E22" s="794">
        <f t="shared" si="1"/>
        <v>7.2421559440542591</v>
      </c>
      <c r="F22" s="794">
        <f t="shared" si="1"/>
        <v>525.25620335701558</v>
      </c>
      <c r="G22" s="794">
        <f t="shared" si="1"/>
        <v>0</v>
      </c>
      <c r="H22" s="794">
        <f t="shared" si="1"/>
        <v>148111.5339452941</v>
      </c>
      <c r="I22" s="794">
        <f t="shared" si="1"/>
        <v>18082.705969086725</v>
      </c>
      <c r="J22" s="794">
        <f t="shared" si="1"/>
        <v>0</v>
      </c>
      <c r="K22" s="794">
        <f t="shared" si="1"/>
        <v>0</v>
      </c>
      <c r="L22" s="794">
        <f t="shared" si="1"/>
        <v>0</v>
      </c>
      <c r="M22" s="794">
        <f t="shared" si="1"/>
        <v>0</v>
      </c>
      <c r="N22" s="794">
        <f t="shared" si="1"/>
        <v>7418.1658895670553</v>
      </c>
      <c r="O22" s="794">
        <f t="shared" si="1"/>
        <v>0</v>
      </c>
      <c r="P22" s="794">
        <f t="shared" si="1"/>
        <v>0</v>
      </c>
      <c r="Q22" s="794">
        <f t="shared" si="1"/>
        <v>0</v>
      </c>
      <c r="R22" s="794">
        <f t="shared" si="1"/>
        <v>174158.77502288745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3097.2040000000002</v>
      </c>
      <c r="D24" s="676">
        <f>+landbouw!C8</f>
        <v>62.357142857142847</v>
      </c>
      <c r="E24" s="676">
        <f>+landbouw!D8</f>
        <v>2085.4582759999998</v>
      </c>
      <c r="F24" s="676">
        <f>+landbouw!E8</f>
        <v>29.177736874752817</v>
      </c>
      <c r="G24" s="676">
        <f>+landbouw!F8</f>
        <v>10107.204523736551</v>
      </c>
      <c r="H24" s="676">
        <f>+landbouw!G8</f>
        <v>0</v>
      </c>
      <c r="I24" s="676">
        <f>+landbouw!H8</f>
        <v>0</v>
      </c>
      <c r="J24" s="676">
        <f>+landbouw!I8</f>
        <v>0</v>
      </c>
      <c r="K24" s="676">
        <f>+landbouw!J8</f>
        <v>383.13919959736222</v>
      </c>
      <c r="L24" s="676">
        <f>+landbouw!K8</f>
        <v>0</v>
      </c>
      <c r="M24" s="676">
        <f>+landbouw!L8</f>
        <v>0</v>
      </c>
      <c r="N24" s="676">
        <f>+landbouw!M8</f>
        <v>0</v>
      </c>
      <c r="O24" s="676">
        <f>+landbouw!N8</f>
        <v>0</v>
      </c>
      <c r="P24" s="676">
        <f>+landbouw!O8</f>
        <v>0</v>
      </c>
      <c r="Q24" s="677">
        <f>+landbouw!P8</f>
        <v>0</v>
      </c>
      <c r="R24" s="679">
        <f>SUM(C24:Q24)</f>
        <v>15764.540879065809</v>
      </c>
      <c r="S24" s="68"/>
    </row>
    <row r="25" spans="1:19" s="445" customFormat="1" ht="15" thickBot="1">
      <c r="A25" s="813" t="s">
        <v>879</v>
      </c>
      <c r="B25" s="979"/>
      <c r="C25" s="980">
        <f>IF(Onbekend_ele_kWh="---",0,Onbekend_ele_kWh)/1000+IF(REST_rest_ele_kWh="---",0,REST_rest_ele_kWh)/1000</f>
        <v>480.11900000000003</v>
      </c>
      <c r="D25" s="980"/>
      <c r="E25" s="980">
        <f>IF(onbekend_gas_kWh="---",0,onbekend_gas_kWh)/1000+IF(REST_rest_gas_kWh="---",0,REST_rest_gas_kWh)/1000</f>
        <v>2026.287</v>
      </c>
      <c r="F25" s="980"/>
      <c r="G25" s="980"/>
      <c r="H25" s="980"/>
      <c r="I25" s="980"/>
      <c r="J25" s="980"/>
      <c r="K25" s="980"/>
      <c r="L25" s="980"/>
      <c r="M25" s="980"/>
      <c r="N25" s="980"/>
      <c r="O25" s="980"/>
      <c r="P25" s="980"/>
      <c r="Q25" s="981"/>
      <c r="R25" s="679">
        <f>SUM(C25:Q25)</f>
        <v>2506.4059999999999</v>
      </c>
      <c r="S25" s="68"/>
    </row>
    <row r="26" spans="1:19" s="445" customFormat="1" ht="15.75" thickBot="1">
      <c r="A26" s="682" t="s">
        <v>880</v>
      </c>
      <c r="B26" s="799"/>
      <c r="C26" s="794">
        <f>SUM(C24:C25)</f>
        <v>3577.3230000000003</v>
      </c>
      <c r="D26" s="794">
        <f t="shared" ref="D26:R26" si="2">SUM(D24:D25)</f>
        <v>62.357142857142847</v>
      </c>
      <c r="E26" s="794">
        <f t="shared" si="2"/>
        <v>4111.7452759999996</v>
      </c>
      <c r="F26" s="794">
        <f t="shared" si="2"/>
        <v>29.177736874752817</v>
      </c>
      <c r="G26" s="794">
        <f t="shared" si="2"/>
        <v>10107.204523736551</v>
      </c>
      <c r="H26" s="794">
        <f t="shared" si="2"/>
        <v>0</v>
      </c>
      <c r="I26" s="794">
        <f t="shared" si="2"/>
        <v>0</v>
      </c>
      <c r="J26" s="794">
        <f t="shared" si="2"/>
        <v>0</v>
      </c>
      <c r="K26" s="794">
        <f t="shared" si="2"/>
        <v>383.13919959736222</v>
      </c>
      <c r="L26" s="794">
        <f t="shared" si="2"/>
        <v>0</v>
      </c>
      <c r="M26" s="794">
        <f t="shared" si="2"/>
        <v>0</v>
      </c>
      <c r="N26" s="794">
        <f t="shared" si="2"/>
        <v>0</v>
      </c>
      <c r="O26" s="794">
        <f t="shared" si="2"/>
        <v>0</v>
      </c>
      <c r="P26" s="794">
        <f t="shared" si="2"/>
        <v>0</v>
      </c>
      <c r="Q26" s="794">
        <f t="shared" si="2"/>
        <v>0</v>
      </c>
      <c r="R26" s="794">
        <f t="shared" si="2"/>
        <v>18270.94687906581</v>
      </c>
      <c r="S26" s="68"/>
    </row>
    <row r="27" spans="1:19" s="445" customFormat="1" ht="17.25" thickTop="1" thickBot="1">
      <c r="A27" s="683" t="s">
        <v>115</v>
      </c>
      <c r="B27" s="786"/>
      <c r="C27" s="684">
        <f ca="1">C22+C16+C26</f>
        <v>44034.432306048708</v>
      </c>
      <c r="D27" s="684">
        <f t="shared" ref="D27:R27" ca="1" si="3">D22+D16+D26</f>
        <v>62.357142857142847</v>
      </c>
      <c r="E27" s="684">
        <f t="shared" ca="1" si="3"/>
        <v>72217.825337944058</v>
      </c>
      <c r="F27" s="684">
        <f t="shared" si="3"/>
        <v>1542.1197806518396</v>
      </c>
      <c r="G27" s="684">
        <f t="shared" ca="1" si="3"/>
        <v>39513.526420978655</v>
      </c>
      <c r="H27" s="684">
        <f t="shared" si="3"/>
        <v>148111.5339452941</v>
      </c>
      <c r="I27" s="684">
        <f t="shared" si="3"/>
        <v>18082.705969086725</v>
      </c>
      <c r="J27" s="684">
        <f t="shared" si="3"/>
        <v>0</v>
      </c>
      <c r="K27" s="684">
        <f t="shared" si="3"/>
        <v>858.60927765539645</v>
      </c>
      <c r="L27" s="684">
        <f t="shared" si="3"/>
        <v>0</v>
      </c>
      <c r="M27" s="684">
        <f t="shared" ca="1" si="3"/>
        <v>0</v>
      </c>
      <c r="N27" s="684">
        <f t="shared" si="3"/>
        <v>7418.1658895670553</v>
      </c>
      <c r="O27" s="684">
        <f t="shared" ca="1" si="3"/>
        <v>8606.0678294449845</v>
      </c>
      <c r="P27" s="684">
        <f t="shared" si="3"/>
        <v>125.06666666666666</v>
      </c>
      <c r="Q27" s="684">
        <f t="shared" si="3"/>
        <v>76.266666666666666</v>
      </c>
      <c r="R27" s="684">
        <f t="shared" ca="1" si="3"/>
        <v>340648.67723286198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1216.5977875391807</v>
      </c>
      <c r="D40" s="676">
        <f ca="1">tertiair!C20</f>
        <v>0</v>
      </c>
      <c r="E40" s="676">
        <f ca="1">tertiair!D20</f>
        <v>2356.2956535360004</v>
      </c>
      <c r="F40" s="676">
        <f>tertiair!E20</f>
        <v>24.294834090535844</v>
      </c>
      <c r="G40" s="676">
        <f ca="1">tertiair!F20</f>
        <v>799.37192385371293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4396.56019901943</v>
      </c>
    </row>
    <row r="41" spans="1:18">
      <c r="A41" s="804" t="s">
        <v>220</v>
      </c>
      <c r="B41" s="811"/>
      <c r="C41" s="676">
        <f ca="1">huishoudens!B12</f>
        <v>1805.2396551593617</v>
      </c>
      <c r="D41" s="676">
        <f ca="1">huishoudens!C12</f>
        <v>0</v>
      </c>
      <c r="E41" s="676">
        <f>huishoudens!D12</f>
        <v>10051.260155684002</v>
      </c>
      <c r="F41" s="676">
        <f>huishoudens!E12</f>
        <v>186.48176815230067</v>
      </c>
      <c r="G41" s="676">
        <f>huishoudens!F12</f>
        <v>6687.1005096527724</v>
      </c>
      <c r="H41" s="676">
        <f>huishoudens!G12</f>
        <v>0</v>
      </c>
      <c r="I41" s="676">
        <f>huishoudens!H12</f>
        <v>0</v>
      </c>
      <c r="J41" s="676">
        <f>huishoudens!I12</f>
        <v>0</v>
      </c>
      <c r="K41" s="676">
        <f>huishoudens!J12</f>
        <v>160.87126765538892</v>
      </c>
      <c r="L41" s="676">
        <f>huishoudens!K12</f>
        <v>0</v>
      </c>
      <c r="M41" s="676">
        <f>huishoudens!L12</f>
        <v>0</v>
      </c>
      <c r="N41" s="676">
        <f>huishoudens!M12</f>
        <v>0</v>
      </c>
      <c r="O41" s="676">
        <f>huishoudens!N12</f>
        <v>0</v>
      </c>
      <c r="P41" s="676">
        <f>huishoudens!O12</f>
        <v>0</v>
      </c>
      <c r="Q41" s="751">
        <f>huishoudens!P12</f>
        <v>0</v>
      </c>
      <c r="R41" s="832">
        <f t="shared" ca="1" si="4"/>
        <v>18890.953356303824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353.91728786264088</v>
      </c>
      <c r="D43" s="676">
        <f ca="1">industrie!C22</f>
        <v>0</v>
      </c>
      <c r="E43" s="676">
        <f>industrie!D22</f>
        <v>1348.409447792</v>
      </c>
      <c r="F43" s="676">
        <f>industrie!E22</f>
        <v>13.428083532519622</v>
      </c>
      <c r="G43" s="676">
        <f>industrie!F22</f>
        <v>365.01551305715748</v>
      </c>
      <c r="H43" s="676">
        <f>industrie!G22</f>
        <v>0</v>
      </c>
      <c r="I43" s="676">
        <f>industrie!H22</f>
        <v>0</v>
      </c>
      <c r="J43" s="676">
        <f>industrie!I22</f>
        <v>0</v>
      </c>
      <c r="K43" s="676">
        <f>industrie!J22</f>
        <v>7.4451399771551987</v>
      </c>
      <c r="L43" s="676">
        <f>industrie!K22</f>
        <v>0</v>
      </c>
      <c r="M43" s="676">
        <f>industrie!L22</f>
        <v>0</v>
      </c>
      <c r="N43" s="676">
        <f>industrie!M22</f>
        <v>0</v>
      </c>
      <c r="O43" s="676">
        <f>industrie!N22</f>
        <v>0</v>
      </c>
      <c r="P43" s="676">
        <f>industrie!O22</f>
        <v>0</v>
      </c>
      <c r="Q43" s="751">
        <f>industrie!P22</f>
        <v>0</v>
      </c>
      <c r="R43" s="831">
        <f t="shared" ca="1" si="4"/>
        <v>2088.2154722214732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3375.7547305611834</v>
      </c>
      <c r="D46" s="709">
        <f t="shared" ref="D46:Q46" ca="1" si="5">SUM(D39:D45)</f>
        <v>0</v>
      </c>
      <c r="E46" s="709">
        <f t="shared" ca="1" si="5"/>
        <v>13755.965257012003</v>
      </c>
      <c r="F46" s="709">
        <f t="shared" si="5"/>
        <v>224.20468577535615</v>
      </c>
      <c r="G46" s="709">
        <f t="shared" ca="1" si="5"/>
        <v>7851.4879465636432</v>
      </c>
      <c r="H46" s="709">
        <f t="shared" si="5"/>
        <v>0</v>
      </c>
      <c r="I46" s="709">
        <f t="shared" si="5"/>
        <v>0</v>
      </c>
      <c r="J46" s="709">
        <f t="shared" si="5"/>
        <v>0</v>
      </c>
      <c r="K46" s="709">
        <f t="shared" si="5"/>
        <v>168.31640763254413</v>
      </c>
      <c r="L46" s="709">
        <f t="shared" si="5"/>
        <v>0</v>
      </c>
      <c r="M46" s="709">
        <f t="shared" ca="1" si="5"/>
        <v>0</v>
      </c>
      <c r="N46" s="709">
        <f t="shared" si="5"/>
        <v>0</v>
      </c>
      <c r="O46" s="709">
        <f t="shared" ca="1" si="5"/>
        <v>0</v>
      </c>
      <c r="P46" s="709">
        <f t="shared" si="5"/>
        <v>0</v>
      </c>
      <c r="Q46" s="709">
        <f t="shared" si="5"/>
        <v>0</v>
      </c>
      <c r="R46" s="709">
        <f ca="1">SUM(R39:R45)</f>
        <v>25375.729027544727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0.61284799941885204</v>
      </c>
      <c r="D49" s="676">
        <f ca="1">transport!C58</f>
        <v>0</v>
      </c>
      <c r="E49" s="676">
        <f>transport!D58</f>
        <v>0</v>
      </c>
      <c r="F49" s="676">
        <f>transport!E58</f>
        <v>0</v>
      </c>
      <c r="G49" s="676">
        <f>transport!F58</f>
        <v>0</v>
      </c>
      <c r="H49" s="676">
        <f>transport!G58</f>
        <v>391.0005846176951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391.61343261711397</v>
      </c>
    </row>
    <row r="50" spans="1:18">
      <c r="A50" s="807" t="s">
        <v>302</v>
      </c>
      <c r="B50" s="817"/>
      <c r="C50" s="986">
        <f ca="1">transport!B18</f>
        <v>0.54493811861593489</v>
      </c>
      <c r="D50" s="986">
        <f>transport!C18</f>
        <v>0</v>
      </c>
      <c r="E50" s="986">
        <f>transport!D18</f>
        <v>1.4629155006989605</v>
      </c>
      <c r="F50" s="986">
        <f>transport!E18</f>
        <v>119.23315816204254</v>
      </c>
      <c r="G50" s="986">
        <f>transport!F18</f>
        <v>0</v>
      </c>
      <c r="H50" s="986">
        <f>transport!G18</f>
        <v>39154.77897877583</v>
      </c>
      <c r="I50" s="986">
        <f>transport!H18</f>
        <v>4502.5937863025947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43778.613776859784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1.157786118034787</v>
      </c>
      <c r="D52" s="709">
        <f t="shared" ref="D52:Q52" ca="1" si="6">SUM(D48:D51)</f>
        <v>0</v>
      </c>
      <c r="E52" s="709">
        <f t="shared" si="6"/>
        <v>1.4629155006989605</v>
      </c>
      <c r="F52" s="709">
        <f t="shared" si="6"/>
        <v>119.23315816204254</v>
      </c>
      <c r="G52" s="709">
        <f t="shared" si="6"/>
        <v>0</v>
      </c>
      <c r="H52" s="709">
        <f t="shared" si="6"/>
        <v>39545.779563393524</v>
      </c>
      <c r="I52" s="709">
        <f t="shared" si="6"/>
        <v>4502.5937863025947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44170.2272094769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258.52037215978817</v>
      </c>
      <c r="D54" s="986">
        <f ca="1">+landbouw!C12</f>
        <v>0</v>
      </c>
      <c r="E54" s="986">
        <f>+landbouw!D12</f>
        <v>421.26257175199999</v>
      </c>
      <c r="F54" s="986">
        <f>+landbouw!E12</f>
        <v>6.6233462705688897</v>
      </c>
      <c r="G54" s="986">
        <f>+landbouw!F12</f>
        <v>2698.6236078376592</v>
      </c>
      <c r="H54" s="986">
        <f>+landbouw!G12</f>
        <v>0</v>
      </c>
      <c r="I54" s="986">
        <f>+landbouw!H12</f>
        <v>0</v>
      </c>
      <c r="J54" s="986">
        <f>+landbouw!I12</f>
        <v>0</v>
      </c>
      <c r="K54" s="986">
        <f>+landbouw!J12</f>
        <v>135.63127665746623</v>
      </c>
      <c r="L54" s="986">
        <f>+landbouw!K12</f>
        <v>0</v>
      </c>
      <c r="M54" s="986">
        <f>+landbouw!L12</f>
        <v>0</v>
      </c>
      <c r="N54" s="986">
        <f>+landbouw!M12</f>
        <v>0</v>
      </c>
      <c r="O54" s="986">
        <f>+landbouw!N12</f>
        <v>0</v>
      </c>
      <c r="P54" s="986">
        <f>+landbouw!O12</f>
        <v>0</v>
      </c>
      <c r="Q54" s="987">
        <f>+landbouw!P12</f>
        <v>0</v>
      </c>
      <c r="R54" s="708">
        <f ca="1">SUM(C54:Q54)</f>
        <v>3520.661174677482</v>
      </c>
    </row>
    <row r="55" spans="1:18" ht="15" thickBot="1">
      <c r="A55" s="807" t="s">
        <v>879</v>
      </c>
      <c r="B55" s="817"/>
      <c r="C55" s="986">
        <f ca="1">C25*'EF ele_warmte'!B12</f>
        <v>40.075029788475454</v>
      </c>
      <c r="D55" s="986"/>
      <c r="E55" s="986">
        <f>E25*EF_CO2_aardgas</f>
        <v>409.30997400000001</v>
      </c>
      <c r="F55" s="986"/>
      <c r="G55" s="986"/>
      <c r="H55" s="986"/>
      <c r="I55" s="986"/>
      <c r="J55" s="986"/>
      <c r="K55" s="986"/>
      <c r="L55" s="986"/>
      <c r="M55" s="986"/>
      <c r="N55" s="986"/>
      <c r="O55" s="986"/>
      <c r="P55" s="986"/>
      <c r="Q55" s="987"/>
      <c r="R55" s="708">
        <f ca="1">SUM(C55:Q55)</f>
        <v>449.38500378847544</v>
      </c>
    </row>
    <row r="56" spans="1:18" ht="15.75" thickBot="1">
      <c r="A56" s="805" t="s">
        <v>880</v>
      </c>
      <c r="B56" s="818"/>
      <c r="C56" s="709">
        <f ca="1">SUM(C54:C55)</f>
        <v>298.5954019482636</v>
      </c>
      <c r="D56" s="709">
        <f t="shared" ref="D56:Q56" ca="1" si="7">SUM(D54:D55)</f>
        <v>0</v>
      </c>
      <c r="E56" s="709">
        <f t="shared" si="7"/>
        <v>830.572545752</v>
      </c>
      <c r="F56" s="709">
        <f t="shared" si="7"/>
        <v>6.6233462705688897</v>
      </c>
      <c r="G56" s="709">
        <f t="shared" si="7"/>
        <v>2698.6236078376592</v>
      </c>
      <c r="H56" s="709">
        <f t="shared" si="7"/>
        <v>0</v>
      </c>
      <c r="I56" s="709">
        <f t="shared" si="7"/>
        <v>0</v>
      </c>
      <c r="J56" s="709">
        <f t="shared" si="7"/>
        <v>0</v>
      </c>
      <c r="K56" s="709">
        <f t="shared" si="7"/>
        <v>135.63127665746623</v>
      </c>
      <c r="L56" s="709">
        <f t="shared" si="7"/>
        <v>0</v>
      </c>
      <c r="M56" s="709">
        <f t="shared" si="7"/>
        <v>0</v>
      </c>
      <c r="N56" s="709">
        <f t="shared" si="7"/>
        <v>0</v>
      </c>
      <c r="O56" s="709">
        <f t="shared" si="7"/>
        <v>0</v>
      </c>
      <c r="P56" s="709">
        <f t="shared" si="7"/>
        <v>0</v>
      </c>
      <c r="Q56" s="710">
        <f t="shared" si="7"/>
        <v>0</v>
      </c>
      <c r="R56" s="711">
        <f ca="1">SUM(R54:R55)</f>
        <v>3970.0461784659574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3675.507918627482</v>
      </c>
      <c r="D61" s="717">
        <f t="shared" ref="D61:Q61" ca="1" si="8">D46+D52+D56</f>
        <v>0</v>
      </c>
      <c r="E61" s="717">
        <f t="shared" ca="1" si="8"/>
        <v>14588.000718264702</v>
      </c>
      <c r="F61" s="717">
        <f t="shared" si="8"/>
        <v>350.06119020796763</v>
      </c>
      <c r="G61" s="717">
        <f t="shared" ca="1" si="8"/>
        <v>10550.111554401303</v>
      </c>
      <c r="H61" s="717">
        <f t="shared" si="8"/>
        <v>39545.779563393524</v>
      </c>
      <c r="I61" s="717">
        <f t="shared" si="8"/>
        <v>4502.5937863025947</v>
      </c>
      <c r="J61" s="717">
        <f t="shared" si="8"/>
        <v>0</v>
      </c>
      <c r="K61" s="717">
        <f t="shared" si="8"/>
        <v>303.94768429001033</v>
      </c>
      <c r="L61" s="717">
        <f t="shared" si="8"/>
        <v>0</v>
      </c>
      <c r="M61" s="717">
        <f t="shared" ca="1" si="8"/>
        <v>0</v>
      </c>
      <c r="N61" s="717">
        <f t="shared" si="8"/>
        <v>0</v>
      </c>
      <c r="O61" s="717">
        <f t="shared" ca="1" si="8"/>
        <v>0</v>
      </c>
      <c r="P61" s="717">
        <f t="shared" si="8"/>
        <v>0</v>
      </c>
      <c r="Q61" s="717">
        <f t="shared" si="8"/>
        <v>0</v>
      </c>
      <c r="R61" s="717">
        <f ca="1">R46+R52+R56</f>
        <v>73516.002415487586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8.3468952048295228E-2</v>
      </c>
      <c r="D63" s="761">
        <f t="shared" ca="1" si="9"/>
        <v>0</v>
      </c>
      <c r="E63" s="988">
        <f t="shared" ca="1" si="9"/>
        <v>0.20200000000000004</v>
      </c>
      <c r="F63" s="761">
        <f t="shared" si="9"/>
        <v>0.22700000000000004</v>
      </c>
      <c r="G63" s="761">
        <f t="shared" ca="1" si="9"/>
        <v>0.26700000000000007</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22845.452955909452</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4109.0717997886622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43.649999999999991</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51.35294117647058</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405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1012.5</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27403.174755698114</v>
      </c>
      <c r="C78" s="732">
        <f>SUM(C72:C77)</f>
        <v>0</v>
      </c>
      <c r="D78" s="733">
        <f t="shared" ref="D78:H78" si="10">SUM(D76:D77)</f>
        <v>0</v>
      </c>
      <c r="E78" s="733">
        <f t="shared" si="10"/>
        <v>0</v>
      </c>
      <c r="F78" s="733">
        <f t="shared" si="10"/>
        <v>0</v>
      </c>
      <c r="G78" s="733">
        <f t="shared" si="10"/>
        <v>0</v>
      </c>
      <c r="H78" s="733">
        <f t="shared" si="10"/>
        <v>0</v>
      </c>
      <c r="I78" s="733">
        <f>SUM(I76:I77)</f>
        <v>1012.5</v>
      </c>
      <c r="J78" s="733">
        <f>SUM(J76:J77)</f>
        <v>51.35294117647058</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62.357142857142847</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73.361344537815114</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62.357142857142847</v>
      </c>
      <c r="C90" s="732">
        <f>SUM(C87:C89)</f>
        <v>0</v>
      </c>
      <c r="D90" s="732">
        <f t="shared" ref="D90:H90" si="12">SUM(D87:D89)</f>
        <v>0</v>
      </c>
      <c r="E90" s="732">
        <f t="shared" si="12"/>
        <v>0</v>
      </c>
      <c r="F90" s="732">
        <f t="shared" si="12"/>
        <v>0</v>
      </c>
      <c r="G90" s="732">
        <f t="shared" si="12"/>
        <v>0</v>
      </c>
      <c r="H90" s="732">
        <f t="shared" si="12"/>
        <v>0</v>
      </c>
      <c r="I90" s="732">
        <f>SUM(I87:I89)</f>
        <v>0</v>
      </c>
      <c r="J90" s="732">
        <f>SUM(J87:J89)</f>
        <v>73.361344537815114</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21627.678446410209</v>
      </c>
      <c r="C4" s="449">
        <f>huishoudens!C8</f>
        <v>0</v>
      </c>
      <c r="D4" s="449">
        <f>huishoudens!D8</f>
        <v>49758.713642000002</v>
      </c>
      <c r="E4" s="449">
        <f>huishoudens!E8</f>
        <v>821.50558657401177</v>
      </c>
      <c r="F4" s="449">
        <f>huishoudens!F8</f>
        <v>25045.320260871806</v>
      </c>
      <c r="G4" s="449">
        <f>huishoudens!G8</f>
        <v>0</v>
      </c>
      <c r="H4" s="449">
        <f>huishoudens!H8</f>
        <v>0</v>
      </c>
      <c r="I4" s="449">
        <f>huishoudens!I8</f>
        <v>0</v>
      </c>
      <c r="J4" s="449">
        <f>huishoudens!J8</f>
        <v>454.43860919601389</v>
      </c>
      <c r="K4" s="449">
        <f>huishoudens!K8</f>
        <v>0</v>
      </c>
      <c r="L4" s="449">
        <f>huishoudens!L8</f>
        <v>0</v>
      </c>
      <c r="M4" s="449">
        <f>huishoudens!M8</f>
        <v>0</v>
      </c>
      <c r="N4" s="449">
        <f>huishoudens!N8</f>
        <v>6781.3591431639588</v>
      </c>
      <c r="O4" s="449">
        <f>huishoudens!O8</f>
        <v>125.06666666666666</v>
      </c>
      <c r="P4" s="450">
        <f>huishoudens!P8</f>
        <v>76.266666666666666</v>
      </c>
      <c r="Q4" s="451">
        <f>SUM(B4:P4)</f>
        <v>104690.34902154934</v>
      </c>
    </row>
    <row r="5" spans="1:17">
      <c r="A5" s="448" t="s">
        <v>155</v>
      </c>
      <c r="B5" s="449">
        <f ca="1">tertiair!B16</f>
        <v>13567.579</v>
      </c>
      <c r="C5" s="449">
        <f ca="1">tertiair!C16</f>
        <v>0</v>
      </c>
      <c r="D5" s="449">
        <f ca="1">tertiair!D16</f>
        <v>11664.829968</v>
      </c>
      <c r="E5" s="449">
        <f>tertiair!E16</f>
        <v>107.02570083936494</v>
      </c>
      <c r="F5" s="449">
        <f ca="1">tertiair!F16</f>
        <v>2993.9023365307598</v>
      </c>
      <c r="G5" s="449">
        <f>tertiair!G16</f>
        <v>0</v>
      </c>
      <c r="H5" s="449">
        <f>tertiair!H16</f>
        <v>0</v>
      </c>
      <c r="I5" s="449">
        <f>tertiair!I16</f>
        <v>0</v>
      </c>
      <c r="J5" s="449">
        <f>tertiair!J16</f>
        <v>0</v>
      </c>
      <c r="K5" s="449">
        <f>tertiair!K16</f>
        <v>0</v>
      </c>
      <c r="L5" s="449">
        <f ca="1">tertiair!L16</f>
        <v>0</v>
      </c>
      <c r="M5" s="449">
        <f>tertiair!M16</f>
        <v>0</v>
      </c>
      <c r="N5" s="449">
        <f ca="1">tertiair!N16</f>
        <v>1613.8035397799435</v>
      </c>
      <c r="O5" s="449">
        <f>tertiair!O16</f>
        <v>0</v>
      </c>
      <c r="P5" s="450">
        <f>tertiair!P16</f>
        <v>0</v>
      </c>
      <c r="Q5" s="448">
        <f t="shared" ref="Q5:Q14" ca="1" si="0">SUM(B5:P5)</f>
        <v>29947.140545150065</v>
      </c>
    </row>
    <row r="6" spans="1:17">
      <c r="A6" s="448" t="s">
        <v>193</v>
      </c>
      <c r="B6" s="449">
        <f>'openbare verlichting'!B8</f>
        <v>1007.874</v>
      </c>
      <c r="C6" s="449"/>
      <c r="D6" s="449"/>
      <c r="E6" s="449"/>
      <c r="F6" s="449"/>
      <c r="G6" s="449"/>
      <c r="H6" s="449"/>
      <c r="I6" s="449"/>
      <c r="J6" s="449"/>
      <c r="K6" s="449"/>
      <c r="L6" s="449"/>
      <c r="M6" s="449"/>
      <c r="N6" s="449"/>
      <c r="O6" s="449"/>
      <c r="P6" s="450"/>
      <c r="Q6" s="448">
        <f t="shared" si="0"/>
        <v>1007.874</v>
      </c>
    </row>
    <row r="7" spans="1:17">
      <c r="A7" s="448" t="s">
        <v>111</v>
      </c>
      <c r="B7" s="449">
        <f>landbouw!B8</f>
        <v>3097.2040000000002</v>
      </c>
      <c r="C7" s="449">
        <f>landbouw!C8</f>
        <v>62.357142857142847</v>
      </c>
      <c r="D7" s="449">
        <f>landbouw!D8</f>
        <v>2085.4582759999998</v>
      </c>
      <c r="E7" s="449">
        <f>landbouw!E8</f>
        <v>29.177736874752817</v>
      </c>
      <c r="F7" s="449">
        <f>landbouw!F8</f>
        <v>10107.204523736551</v>
      </c>
      <c r="G7" s="449">
        <f>landbouw!G8</f>
        <v>0</v>
      </c>
      <c r="H7" s="449">
        <f>landbouw!H8</f>
        <v>0</v>
      </c>
      <c r="I7" s="449">
        <f>landbouw!I8</f>
        <v>0</v>
      </c>
      <c r="J7" s="449">
        <f>landbouw!J8</f>
        <v>383.13919959736222</v>
      </c>
      <c r="K7" s="449">
        <f>landbouw!K8</f>
        <v>0</v>
      </c>
      <c r="L7" s="449">
        <f>landbouw!L8</f>
        <v>0</v>
      </c>
      <c r="M7" s="449">
        <f>landbouw!M8</f>
        <v>0</v>
      </c>
      <c r="N7" s="449">
        <f>landbouw!N8</f>
        <v>0</v>
      </c>
      <c r="O7" s="449">
        <f>landbouw!O8</f>
        <v>0</v>
      </c>
      <c r="P7" s="450">
        <f>landbouw!P8</f>
        <v>0</v>
      </c>
      <c r="Q7" s="448">
        <f t="shared" si="0"/>
        <v>15764.540879065809</v>
      </c>
    </row>
    <row r="8" spans="1:17">
      <c r="A8" s="448" t="s">
        <v>671</v>
      </c>
      <c r="B8" s="449">
        <f>industrie!B18</f>
        <v>4240.107</v>
      </c>
      <c r="C8" s="449">
        <f>industrie!C18</f>
        <v>0</v>
      </c>
      <c r="D8" s="449">
        <f>industrie!D18</f>
        <v>6675.294296</v>
      </c>
      <c r="E8" s="449">
        <f>industrie!E18</f>
        <v>59.154553006694371</v>
      </c>
      <c r="F8" s="449">
        <f>industrie!F18</f>
        <v>1367.0992998395411</v>
      </c>
      <c r="G8" s="449">
        <f>industrie!G18</f>
        <v>0</v>
      </c>
      <c r="H8" s="449">
        <f>industrie!H18</f>
        <v>0</v>
      </c>
      <c r="I8" s="449">
        <f>industrie!I18</f>
        <v>0</v>
      </c>
      <c r="J8" s="449">
        <f>industrie!J18</f>
        <v>21.031468862020336</v>
      </c>
      <c r="K8" s="449">
        <f>industrie!K18</f>
        <v>0</v>
      </c>
      <c r="L8" s="449">
        <f>industrie!L18</f>
        <v>0</v>
      </c>
      <c r="M8" s="449">
        <f>industrie!M18</f>
        <v>0</v>
      </c>
      <c r="N8" s="449">
        <f>industrie!N18</f>
        <v>210.90514650108179</v>
      </c>
      <c r="O8" s="449">
        <f>industrie!O18</f>
        <v>0</v>
      </c>
      <c r="P8" s="450">
        <f>industrie!P18</f>
        <v>0</v>
      </c>
      <c r="Q8" s="448">
        <f t="shared" si="0"/>
        <v>12573.591764209337</v>
      </c>
    </row>
    <row r="9" spans="1:17" s="454" customFormat="1">
      <c r="A9" s="452" t="s">
        <v>568</v>
      </c>
      <c r="B9" s="453">
        <f>transport!B14</f>
        <v>6.5286325662820488</v>
      </c>
      <c r="C9" s="453">
        <f>transport!C14</f>
        <v>0</v>
      </c>
      <c r="D9" s="453">
        <f>transport!D14</f>
        <v>7.2421559440542591</v>
      </c>
      <c r="E9" s="453">
        <f>transport!E14</f>
        <v>525.25620335701558</v>
      </c>
      <c r="F9" s="453">
        <f>transport!F14</f>
        <v>0</v>
      </c>
      <c r="G9" s="453">
        <f>transport!G14</f>
        <v>146647.11228005929</v>
      </c>
      <c r="H9" s="453">
        <f>transport!H14</f>
        <v>18082.705969086725</v>
      </c>
      <c r="I9" s="453">
        <f>transport!I14</f>
        <v>0</v>
      </c>
      <c r="J9" s="453">
        <f>transport!J14</f>
        <v>0</v>
      </c>
      <c r="K9" s="453">
        <f>transport!K14</f>
        <v>0</v>
      </c>
      <c r="L9" s="453">
        <f>transport!L14</f>
        <v>0</v>
      </c>
      <c r="M9" s="453">
        <f>transport!M14</f>
        <v>7353.440011660301</v>
      </c>
      <c r="N9" s="453">
        <f>transport!N14</f>
        <v>0</v>
      </c>
      <c r="O9" s="453">
        <f>transport!O14</f>
        <v>0</v>
      </c>
      <c r="P9" s="453">
        <f>transport!P14</f>
        <v>0</v>
      </c>
      <c r="Q9" s="452">
        <f>SUM(B9:P9)</f>
        <v>172622.28525267367</v>
      </c>
    </row>
    <row r="10" spans="1:17">
      <c r="A10" s="448" t="s">
        <v>558</v>
      </c>
      <c r="B10" s="449">
        <f>transport!B54</f>
        <v>7.34222707222031</v>
      </c>
      <c r="C10" s="449">
        <f>transport!C54</f>
        <v>0</v>
      </c>
      <c r="D10" s="449">
        <f>transport!D54</f>
        <v>0</v>
      </c>
      <c r="E10" s="449">
        <f>transport!E54</f>
        <v>0</v>
      </c>
      <c r="F10" s="449">
        <f>transport!F54</f>
        <v>0</v>
      </c>
      <c r="G10" s="449">
        <f>transport!G54</f>
        <v>1464.421665234813</v>
      </c>
      <c r="H10" s="449">
        <f>transport!H54</f>
        <v>0</v>
      </c>
      <c r="I10" s="449">
        <f>transport!I54</f>
        <v>0</v>
      </c>
      <c r="J10" s="449">
        <f>transport!J54</f>
        <v>0</v>
      </c>
      <c r="K10" s="449">
        <f>transport!K54</f>
        <v>0</v>
      </c>
      <c r="L10" s="449">
        <f>transport!L54</f>
        <v>0</v>
      </c>
      <c r="M10" s="449">
        <f>transport!M54</f>
        <v>64.72587790675388</v>
      </c>
      <c r="N10" s="449">
        <f>transport!N54</f>
        <v>0</v>
      </c>
      <c r="O10" s="449">
        <f>transport!O54</f>
        <v>0</v>
      </c>
      <c r="P10" s="450">
        <f>transport!P54</f>
        <v>0</v>
      </c>
      <c r="Q10" s="448">
        <f t="shared" si="0"/>
        <v>1536.4897702137871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480.11900000000003</v>
      </c>
      <c r="C14" s="456"/>
      <c r="D14" s="456">
        <f>'SEAP template'!E25</f>
        <v>2026.287</v>
      </c>
      <c r="E14" s="456"/>
      <c r="F14" s="456"/>
      <c r="G14" s="456"/>
      <c r="H14" s="456"/>
      <c r="I14" s="456"/>
      <c r="J14" s="456"/>
      <c r="K14" s="456"/>
      <c r="L14" s="456"/>
      <c r="M14" s="456"/>
      <c r="N14" s="456"/>
      <c r="O14" s="456"/>
      <c r="P14" s="457"/>
      <c r="Q14" s="448">
        <f t="shared" si="0"/>
        <v>2506.4059999999999</v>
      </c>
    </row>
    <row r="15" spans="1:17" s="461" customFormat="1">
      <c r="A15" s="458" t="s">
        <v>562</v>
      </c>
      <c r="B15" s="459">
        <f ca="1">SUM(B4:B14)</f>
        <v>44034.432306048708</v>
      </c>
      <c r="C15" s="459">
        <f t="shared" ref="C15:Q15" ca="1" si="1">SUM(C4:C14)</f>
        <v>62.357142857142847</v>
      </c>
      <c r="D15" s="459">
        <f t="shared" ca="1" si="1"/>
        <v>72217.825337944043</v>
      </c>
      <c r="E15" s="459">
        <f t="shared" si="1"/>
        <v>1542.1197806518394</v>
      </c>
      <c r="F15" s="459">
        <f t="shared" ca="1" si="1"/>
        <v>39513.526420978655</v>
      </c>
      <c r="G15" s="459">
        <f t="shared" si="1"/>
        <v>148111.5339452941</v>
      </c>
      <c r="H15" s="459">
        <f t="shared" si="1"/>
        <v>18082.705969086725</v>
      </c>
      <c r="I15" s="459">
        <f t="shared" si="1"/>
        <v>0</v>
      </c>
      <c r="J15" s="459">
        <f t="shared" si="1"/>
        <v>858.60927765539645</v>
      </c>
      <c r="K15" s="459">
        <f t="shared" si="1"/>
        <v>0</v>
      </c>
      <c r="L15" s="459">
        <f t="shared" ca="1" si="1"/>
        <v>0</v>
      </c>
      <c r="M15" s="459">
        <f t="shared" si="1"/>
        <v>7418.1658895670553</v>
      </c>
      <c r="N15" s="459">
        <f t="shared" ca="1" si="1"/>
        <v>8606.0678294449845</v>
      </c>
      <c r="O15" s="459">
        <f t="shared" si="1"/>
        <v>125.06666666666666</v>
      </c>
      <c r="P15" s="459">
        <f t="shared" si="1"/>
        <v>76.266666666666666</v>
      </c>
      <c r="Q15" s="459">
        <f t="shared" ca="1" si="1"/>
        <v>340648.67723286198</v>
      </c>
    </row>
    <row r="17" spans="1:17">
      <c r="A17" s="462" t="s">
        <v>563</v>
      </c>
      <c r="B17" s="766">
        <f ca="1">huishoudens!B10</f>
        <v>8.3468952048295214E-2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1805.2396551593617</v>
      </c>
      <c r="C22" s="449">
        <f t="shared" ref="C22:C32" ca="1" si="3">C4*$C$17</f>
        <v>0</v>
      </c>
      <c r="D22" s="449">
        <f t="shared" ref="D22:D32" si="4">D4*$D$17</f>
        <v>10051.260155684002</v>
      </c>
      <c r="E22" s="449">
        <f t="shared" ref="E22:E32" si="5">E4*$E$17</f>
        <v>186.48176815230067</v>
      </c>
      <c r="F22" s="449">
        <f t="shared" ref="F22:F32" si="6">F4*$F$17</f>
        <v>6687.1005096527724</v>
      </c>
      <c r="G22" s="449">
        <f t="shared" ref="G22:G32" si="7">G4*$G$17</f>
        <v>0</v>
      </c>
      <c r="H22" s="449">
        <f t="shared" ref="H22:H32" si="8">H4*$H$17</f>
        <v>0</v>
      </c>
      <c r="I22" s="449">
        <f t="shared" ref="I22:I32" si="9">I4*$I$17</f>
        <v>0</v>
      </c>
      <c r="J22" s="449">
        <f t="shared" ref="J22:J32" si="10">J4*$J$17</f>
        <v>160.87126765538892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18890.953356303824</v>
      </c>
    </row>
    <row r="23" spans="1:17">
      <c r="A23" s="448" t="s">
        <v>155</v>
      </c>
      <c r="B23" s="449">
        <f t="shared" ca="1" si="2"/>
        <v>1132.4716009624572</v>
      </c>
      <c r="C23" s="449">
        <f t="shared" ca="1" si="3"/>
        <v>0</v>
      </c>
      <c r="D23" s="449">
        <f t="shared" ca="1" si="4"/>
        <v>2356.2956535360004</v>
      </c>
      <c r="E23" s="449">
        <f t="shared" si="5"/>
        <v>24.294834090535844</v>
      </c>
      <c r="F23" s="449">
        <f t="shared" ca="1" si="6"/>
        <v>799.37192385371293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4312.4340124427063</v>
      </c>
    </row>
    <row r="24" spans="1:17">
      <c r="A24" s="448" t="s">
        <v>193</v>
      </c>
      <c r="B24" s="449">
        <f t="shared" ca="1" si="2"/>
        <v>84.126186576723498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84.126186576723498</v>
      </c>
    </row>
    <row r="25" spans="1:17">
      <c r="A25" s="448" t="s">
        <v>111</v>
      </c>
      <c r="B25" s="449">
        <f t="shared" ca="1" si="2"/>
        <v>258.52037215978817</v>
      </c>
      <c r="C25" s="449">
        <f t="shared" ca="1" si="3"/>
        <v>0</v>
      </c>
      <c r="D25" s="449">
        <f t="shared" si="4"/>
        <v>421.26257175199999</v>
      </c>
      <c r="E25" s="449">
        <f t="shared" si="5"/>
        <v>6.6233462705688897</v>
      </c>
      <c r="F25" s="449">
        <f t="shared" si="6"/>
        <v>2698.6236078376592</v>
      </c>
      <c r="G25" s="449">
        <f t="shared" si="7"/>
        <v>0</v>
      </c>
      <c r="H25" s="449">
        <f t="shared" si="8"/>
        <v>0</v>
      </c>
      <c r="I25" s="449">
        <f t="shared" si="9"/>
        <v>0</v>
      </c>
      <c r="J25" s="449">
        <f t="shared" si="10"/>
        <v>135.63127665746623</v>
      </c>
      <c r="K25" s="449">
        <f t="shared" si="11"/>
        <v>0</v>
      </c>
      <c r="L25" s="449">
        <f t="shared" si="12"/>
        <v>0</v>
      </c>
      <c r="M25" s="449">
        <f t="shared" si="13"/>
        <v>0</v>
      </c>
      <c r="N25" s="449">
        <f t="shared" si="14"/>
        <v>0</v>
      </c>
      <c r="O25" s="449">
        <f t="shared" si="15"/>
        <v>0</v>
      </c>
      <c r="P25" s="450">
        <f t="shared" si="16"/>
        <v>0</v>
      </c>
      <c r="Q25" s="448">
        <f t="shared" ca="1" si="17"/>
        <v>3520.661174677482</v>
      </c>
    </row>
    <row r="26" spans="1:17">
      <c r="A26" s="448" t="s">
        <v>671</v>
      </c>
      <c r="B26" s="449">
        <f t="shared" ca="1" si="2"/>
        <v>353.91728786264088</v>
      </c>
      <c r="C26" s="449">
        <f t="shared" ca="1" si="3"/>
        <v>0</v>
      </c>
      <c r="D26" s="449">
        <f t="shared" si="4"/>
        <v>1348.409447792</v>
      </c>
      <c r="E26" s="449">
        <f t="shared" si="5"/>
        <v>13.428083532519622</v>
      </c>
      <c r="F26" s="449">
        <f t="shared" si="6"/>
        <v>365.01551305715748</v>
      </c>
      <c r="G26" s="449">
        <f t="shared" si="7"/>
        <v>0</v>
      </c>
      <c r="H26" s="449">
        <f t="shared" si="8"/>
        <v>0</v>
      </c>
      <c r="I26" s="449">
        <f t="shared" si="9"/>
        <v>0</v>
      </c>
      <c r="J26" s="449">
        <f t="shared" si="10"/>
        <v>7.4451399771551987</v>
      </c>
      <c r="K26" s="449">
        <f t="shared" si="11"/>
        <v>0</v>
      </c>
      <c r="L26" s="449">
        <f t="shared" si="12"/>
        <v>0</v>
      </c>
      <c r="M26" s="449">
        <f t="shared" si="13"/>
        <v>0</v>
      </c>
      <c r="N26" s="449">
        <f t="shared" si="14"/>
        <v>0</v>
      </c>
      <c r="O26" s="449">
        <f t="shared" si="15"/>
        <v>0</v>
      </c>
      <c r="P26" s="450">
        <f t="shared" si="16"/>
        <v>0</v>
      </c>
      <c r="Q26" s="448">
        <f t="shared" ca="1" si="17"/>
        <v>2088.2154722214732</v>
      </c>
    </row>
    <row r="27" spans="1:17" s="454" customFormat="1">
      <c r="A27" s="452" t="s">
        <v>568</v>
      </c>
      <c r="B27" s="760">
        <f t="shared" ca="1" si="2"/>
        <v>0.54493811861593489</v>
      </c>
      <c r="C27" s="453">
        <f t="shared" ca="1" si="3"/>
        <v>0</v>
      </c>
      <c r="D27" s="453">
        <f t="shared" si="4"/>
        <v>1.4629155006989605</v>
      </c>
      <c r="E27" s="453">
        <f t="shared" si="5"/>
        <v>119.23315816204254</v>
      </c>
      <c r="F27" s="453">
        <f t="shared" si="6"/>
        <v>0</v>
      </c>
      <c r="G27" s="453">
        <f t="shared" si="7"/>
        <v>39154.77897877583</v>
      </c>
      <c r="H27" s="453">
        <f t="shared" si="8"/>
        <v>4502.5937863025947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43778.613776859784</v>
      </c>
    </row>
    <row r="28" spans="1:17">
      <c r="A28" s="448" t="s">
        <v>558</v>
      </c>
      <c r="B28" s="449">
        <f t="shared" ca="1" si="2"/>
        <v>0.61284799941885204</v>
      </c>
      <c r="C28" s="449">
        <f t="shared" ca="1" si="3"/>
        <v>0</v>
      </c>
      <c r="D28" s="449">
        <f t="shared" si="4"/>
        <v>0</v>
      </c>
      <c r="E28" s="449">
        <f t="shared" si="5"/>
        <v>0</v>
      </c>
      <c r="F28" s="449">
        <f t="shared" si="6"/>
        <v>0</v>
      </c>
      <c r="G28" s="449">
        <f t="shared" si="7"/>
        <v>391.0005846176951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391.61343261711397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40.075029788475454</v>
      </c>
      <c r="C32" s="449">
        <f t="shared" ca="1" si="3"/>
        <v>0</v>
      </c>
      <c r="D32" s="449">
        <f t="shared" si="4"/>
        <v>409.30997400000001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449.38500378847544</v>
      </c>
    </row>
    <row r="33" spans="1:17" s="461" customFormat="1">
      <c r="A33" s="458" t="s">
        <v>562</v>
      </c>
      <c r="B33" s="459">
        <f ca="1">SUM(B22:B32)</f>
        <v>3675.507918627482</v>
      </c>
      <c r="C33" s="459">
        <f t="shared" ref="C33:Q33" ca="1" si="18">SUM(C22:C32)</f>
        <v>0</v>
      </c>
      <c r="D33" s="459">
        <f t="shared" ca="1" si="18"/>
        <v>14588.000718264702</v>
      </c>
      <c r="E33" s="459">
        <f t="shared" si="18"/>
        <v>350.06119020796757</v>
      </c>
      <c r="F33" s="459">
        <f t="shared" ca="1" si="18"/>
        <v>10550.111554401301</v>
      </c>
      <c r="G33" s="459">
        <f t="shared" si="18"/>
        <v>39545.779563393524</v>
      </c>
      <c r="H33" s="459">
        <f t="shared" si="18"/>
        <v>4502.5937863025947</v>
      </c>
      <c r="I33" s="459">
        <f t="shared" si="18"/>
        <v>0</v>
      </c>
      <c r="J33" s="459">
        <f t="shared" si="18"/>
        <v>303.94768429001033</v>
      </c>
      <c r="K33" s="459">
        <f t="shared" si="18"/>
        <v>0</v>
      </c>
      <c r="L33" s="459">
        <f t="shared" ca="1" si="18"/>
        <v>0</v>
      </c>
      <c r="M33" s="459">
        <f t="shared" si="18"/>
        <v>0</v>
      </c>
      <c r="N33" s="459">
        <f t="shared" ca="1" si="18"/>
        <v>0</v>
      </c>
      <c r="O33" s="459">
        <f t="shared" si="18"/>
        <v>0</v>
      </c>
      <c r="P33" s="459">
        <f t="shared" si="18"/>
        <v>0</v>
      </c>
      <c r="Q33" s="459">
        <f t="shared" ca="1" si="18"/>
        <v>73516.002415487572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22845.452955909452</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4109.0717997886622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405</v>
      </c>
      <c r="C9" s="1015">
        <f>'SEAP template'!C77</f>
        <v>0</v>
      </c>
      <c r="D9" s="1015">
        <f>'SEAP template'!D77</f>
        <v>0</v>
      </c>
      <c r="E9" s="1015">
        <f>'SEAP template'!E77</f>
        <v>0</v>
      </c>
      <c r="F9" s="1015">
        <f>'SEAP template'!F77</f>
        <v>0</v>
      </c>
      <c r="G9" s="1015">
        <f>'SEAP template'!G77</f>
        <v>0</v>
      </c>
      <c r="H9" s="1015">
        <f>'SEAP template'!H77</f>
        <v>0</v>
      </c>
      <c r="I9" s="1015">
        <f>'SEAP template'!I77</f>
        <v>1012.5</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27403.174755698114</v>
      </c>
      <c r="C10" s="1019">
        <f>SUM(C4:C9)</f>
        <v>0</v>
      </c>
      <c r="D10" s="1019">
        <f t="shared" ref="D10:H10" si="0">SUM(D8:D9)</f>
        <v>0</v>
      </c>
      <c r="E10" s="1019">
        <f t="shared" si="0"/>
        <v>0</v>
      </c>
      <c r="F10" s="1019">
        <f t="shared" si="0"/>
        <v>0</v>
      </c>
      <c r="G10" s="1019">
        <f t="shared" si="0"/>
        <v>0</v>
      </c>
      <c r="H10" s="1019">
        <f t="shared" si="0"/>
        <v>0</v>
      </c>
      <c r="I10" s="1019">
        <f>SUM(I8:I9)</f>
        <v>1012.5</v>
      </c>
      <c r="J10" s="1019">
        <f>SUM(J8:J9)</f>
        <v>51.35294117647058</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8.3468952048295214E-2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62.357142857142847</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62.357142857142847</v>
      </c>
      <c r="C20" s="1019">
        <f>SUM(C17:C19)</f>
        <v>0</v>
      </c>
      <c r="D20" s="1019">
        <f t="shared" ref="D20:H20" si="2">SUM(D17:D19)</f>
        <v>0</v>
      </c>
      <c r="E20" s="1019">
        <f t="shared" si="2"/>
        <v>0</v>
      </c>
      <c r="F20" s="1019">
        <f t="shared" si="2"/>
        <v>0</v>
      </c>
      <c r="G20" s="1019">
        <f t="shared" si="2"/>
        <v>0</v>
      </c>
      <c r="H20" s="1019">
        <f t="shared" si="2"/>
        <v>0</v>
      </c>
      <c r="I20" s="1019">
        <f>SUM(I17:I19)</f>
        <v>0</v>
      </c>
      <c r="J20" s="1019">
        <f>SUM(J17:J19)</f>
        <v>73.361344537815114</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8.3468952048295214E-2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8.3468952048295214E-2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8.3468952048295214E-2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4841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3157</v>
      </c>
      <c r="C14" s="327"/>
      <c r="D14" s="327"/>
      <c r="E14" s="327"/>
      <c r="F14" s="327"/>
    </row>
    <row r="15" spans="1:6">
      <c r="A15" s="1295" t="s">
        <v>183</v>
      </c>
      <c r="B15" s="1296">
        <v>32</v>
      </c>
      <c r="C15" s="327"/>
      <c r="D15" s="327"/>
      <c r="E15" s="327"/>
      <c r="F15" s="327"/>
    </row>
    <row r="16" spans="1:6">
      <c r="A16" s="1295" t="s">
        <v>6</v>
      </c>
      <c r="B16" s="1296">
        <v>1310</v>
      </c>
      <c r="C16" s="327"/>
      <c r="D16" s="327"/>
      <c r="E16" s="327"/>
      <c r="F16" s="327"/>
    </row>
    <row r="17" spans="1:6">
      <c r="A17" s="1295" t="s">
        <v>7</v>
      </c>
      <c r="B17" s="1296">
        <v>844</v>
      </c>
      <c r="C17" s="327"/>
      <c r="D17" s="327"/>
      <c r="E17" s="327"/>
      <c r="F17" s="327"/>
    </row>
    <row r="18" spans="1:6">
      <c r="A18" s="1295" t="s">
        <v>8</v>
      </c>
      <c r="B18" s="1296">
        <v>1393</v>
      </c>
      <c r="C18" s="327"/>
      <c r="D18" s="327"/>
      <c r="E18" s="327"/>
      <c r="F18" s="327"/>
    </row>
    <row r="19" spans="1:6">
      <c r="A19" s="1295" t="s">
        <v>9</v>
      </c>
      <c r="B19" s="1296">
        <v>1317</v>
      </c>
      <c r="C19" s="327"/>
      <c r="D19" s="327"/>
      <c r="E19" s="327"/>
      <c r="F19" s="327"/>
    </row>
    <row r="20" spans="1:6">
      <c r="A20" s="1295" t="s">
        <v>10</v>
      </c>
      <c r="B20" s="1296">
        <v>985</v>
      </c>
      <c r="C20" s="327"/>
      <c r="D20" s="327"/>
      <c r="E20" s="327"/>
      <c r="F20" s="327"/>
    </row>
    <row r="21" spans="1:6">
      <c r="A21" s="1295" t="s">
        <v>11</v>
      </c>
      <c r="B21" s="1296">
        <v>8560</v>
      </c>
      <c r="C21" s="327"/>
      <c r="D21" s="327"/>
      <c r="E21" s="327"/>
      <c r="F21" s="327"/>
    </row>
    <row r="22" spans="1:6">
      <c r="A22" s="1295" t="s">
        <v>12</v>
      </c>
      <c r="B22" s="1296">
        <v>18208</v>
      </c>
      <c r="C22" s="327"/>
      <c r="D22" s="327"/>
      <c r="E22" s="327"/>
      <c r="F22" s="327"/>
    </row>
    <row r="23" spans="1:6">
      <c r="A23" s="1295" t="s">
        <v>13</v>
      </c>
      <c r="B23" s="1296">
        <v>185</v>
      </c>
      <c r="C23" s="327"/>
      <c r="D23" s="327"/>
      <c r="E23" s="327"/>
      <c r="F23" s="327"/>
    </row>
    <row r="24" spans="1:6">
      <c r="A24" s="1295" t="s">
        <v>14</v>
      </c>
      <c r="B24" s="1296">
        <v>10</v>
      </c>
      <c r="C24" s="327"/>
      <c r="D24" s="327"/>
      <c r="E24" s="327"/>
      <c r="F24" s="327"/>
    </row>
    <row r="25" spans="1:6">
      <c r="A25" s="1295" t="s">
        <v>15</v>
      </c>
      <c r="B25" s="1296">
        <v>1562</v>
      </c>
      <c r="C25" s="327"/>
      <c r="D25" s="327"/>
      <c r="E25" s="327"/>
      <c r="F25" s="327"/>
    </row>
    <row r="26" spans="1:6">
      <c r="A26" s="1295" t="s">
        <v>16</v>
      </c>
      <c r="B26" s="1296">
        <v>252</v>
      </c>
      <c r="C26" s="327"/>
      <c r="D26" s="327"/>
      <c r="E26" s="327"/>
      <c r="F26" s="327"/>
    </row>
    <row r="27" spans="1:6">
      <c r="A27" s="1295" t="s">
        <v>17</v>
      </c>
      <c r="B27" s="1296">
        <v>0</v>
      </c>
      <c r="C27" s="327"/>
      <c r="D27" s="327"/>
      <c r="E27" s="327"/>
      <c r="F27" s="327"/>
    </row>
    <row r="28" spans="1:6" s="44" customFormat="1">
      <c r="A28" s="1297" t="s">
        <v>18</v>
      </c>
      <c r="B28" s="1298">
        <v>75462</v>
      </c>
      <c r="C28" s="333"/>
      <c r="D28" s="333"/>
      <c r="E28" s="333"/>
      <c r="F28" s="333"/>
    </row>
    <row r="29" spans="1:6">
      <c r="A29" s="1297" t="s">
        <v>961</v>
      </c>
      <c r="B29" s="1298">
        <v>35</v>
      </c>
      <c r="C29" s="333"/>
      <c r="D29" s="333"/>
      <c r="E29" s="333"/>
      <c r="F29" s="333"/>
    </row>
    <row r="30" spans="1:6">
      <c r="A30" s="1290" t="s">
        <v>962</v>
      </c>
      <c r="B30" s="1299">
        <v>12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9</v>
      </c>
      <c r="F36" s="1296">
        <v>88143</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44096</v>
      </c>
    </row>
    <row r="39" spans="1:6">
      <c r="A39" s="1295" t="s">
        <v>29</v>
      </c>
      <c r="B39" s="1295" t="s">
        <v>30</v>
      </c>
      <c r="C39" s="1296">
        <v>3429</v>
      </c>
      <c r="D39" s="1296">
        <v>55164871</v>
      </c>
      <c r="E39" s="1296">
        <v>4742</v>
      </c>
      <c r="F39" s="1296">
        <v>19526011</v>
      </c>
    </row>
    <row r="40" spans="1:6">
      <c r="A40" s="1295" t="s">
        <v>29</v>
      </c>
      <c r="B40" s="1295" t="s">
        <v>28</v>
      </c>
      <c r="C40" s="1296">
        <v>0</v>
      </c>
      <c r="D40" s="1296">
        <v>0</v>
      </c>
      <c r="E40" s="1296">
        <v>0</v>
      </c>
      <c r="F40" s="1296">
        <v>0</v>
      </c>
    </row>
    <row r="41" spans="1:6">
      <c r="A41" s="1295" t="s">
        <v>31</v>
      </c>
      <c r="B41" s="1295" t="s">
        <v>32</v>
      </c>
      <c r="C41" s="1296">
        <v>42</v>
      </c>
      <c r="D41" s="1296">
        <v>5462818</v>
      </c>
      <c r="E41" s="1296">
        <v>111</v>
      </c>
      <c r="F41" s="1296">
        <v>867478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506683</v>
      </c>
      <c r="E44" s="1296">
        <v>12</v>
      </c>
      <c r="F44" s="1296">
        <v>477989</v>
      </c>
    </row>
    <row r="45" spans="1:6">
      <c r="A45" s="1295" t="s">
        <v>31</v>
      </c>
      <c r="B45" s="1295" t="s">
        <v>36</v>
      </c>
      <c r="C45" s="1296">
        <v>4</v>
      </c>
      <c r="D45" s="1296">
        <v>656321</v>
      </c>
      <c r="E45" s="1296">
        <v>7</v>
      </c>
      <c r="F45" s="1296">
        <v>1020421</v>
      </c>
    </row>
    <row r="46" spans="1:6">
      <c r="A46" s="1295" t="s">
        <v>31</v>
      </c>
      <c r="B46" s="1295" t="s">
        <v>37</v>
      </c>
      <c r="C46" s="1296">
        <v>0</v>
      </c>
      <c r="D46" s="1296">
        <v>0</v>
      </c>
      <c r="E46" s="1296">
        <v>0</v>
      </c>
      <c r="F46" s="1296">
        <v>0</v>
      </c>
    </row>
    <row r="47" spans="1:6">
      <c r="A47" s="1295" t="s">
        <v>31</v>
      </c>
      <c r="B47" s="1295" t="s">
        <v>38</v>
      </c>
      <c r="C47" s="1296">
        <v>7</v>
      </c>
      <c r="D47" s="1296">
        <v>395983</v>
      </c>
      <c r="E47" s="1296">
        <v>9</v>
      </c>
      <c r="F47" s="1296">
        <v>270851</v>
      </c>
    </row>
    <row r="48" spans="1:6">
      <c r="A48" s="1295" t="s">
        <v>31</v>
      </c>
      <c r="B48" s="1295" t="s">
        <v>28</v>
      </c>
      <c r="C48" s="1296">
        <v>1</v>
      </c>
      <c r="D48" s="1296">
        <v>18469</v>
      </c>
      <c r="E48" s="1296">
        <v>2</v>
      </c>
      <c r="F48" s="1296">
        <v>1266850</v>
      </c>
    </row>
    <row r="49" spans="1:6">
      <c r="A49" s="1295" t="s">
        <v>31</v>
      </c>
      <c r="B49" s="1295" t="s">
        <v>39</v>
      </c>
      <c r="C49" s="1296">
        <v>0</v>
      </c>
      <c r="D49" s="1296">
        <v>0</v>
      </c>
      <c r="E49" s="1296">
        <v>0</v>
      </c>
      <c r="F49" s="1296">
        <v>0</v>
      </c>
    </row>
    <row r="50" spans="1:6">
      <c r="A50" s="1295" t="s">
        <v>31</v>
      </c>
      <c r="B50" s="1295" t="s">
        <v>40</v>
      </c>
      <c r="C50" s="1296">
        <v>7</v>
      </c>
      <c r="D50" s="1296">
        <v>360274</v>
      </c>
      <c r="E50" s="1296">
        <v>11</v>
      </c>
      <c r="F50" s="1296">
        <v>336518</v>
      </c>
    </row>
    <row r="51" spans="1:6">
      <c r="A51" s="1295" t="s">
        <v>41</v>
      </c>
      <c r="B51" s="1295" t="s">
        <v>42</v>
      </c>
      <c r="C51" s="1296">
        <v>10</v>
      </c>
      <c r="D51" s="1296">
        <v>2312038</v>
      </c>
      <c r="E51" s="1296">
        <v>80</v>
      </c>
      <c r="F51" s="1296">
        <v>3097204</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46</v>
      </c>
      <c r="F54" s="1296">
        <v>1007874</v>
      </c>
    </row>
    <row r="55" spans="1:6">
      <c r="A55" s="1295" t="s">
        <v>45</v>
      </c>
      <c r="B55" s="1295" t="s">
        <v>28</v>
      </c>
      <c r="C55" s="1296">
        <v>0</v>
      </c>
      <c r="D55" s="1296">
        <v>0</v>
      </c>
      <c r="E55" s="1296">
        <v>0</v>
      </c>
      <c r="F55" s="1296">
        <v>0</v>
      </c>
    </row>
    <row r="56" spans="1:6">
      <c r="A56" s="1295" t="s">
        <v>47</v>
      </c>
      <c r="B56" s="1295" t="s">
        <v>28</v>
      </c>
      <c r="C56" s="1296">
        <v>38</v>
      </c>
      <c r="D56" s="1296">
        <v>2026287</v>
      </c>
      <c r="E56" s="1296">
        <v>88</v>
      </c>
      <c r="F56" s="1296">
        <v>480119</v>
      </c>
    </row>
    <row r="57" spans="1:6">
      <c r="A57" s="1295" t="s">
        <v>48</v>
      </c>
      <c r="B57" s="1295" t="s">
        <v>49</v>
      </c>
      <c r="C57" s="1296">
        <v>36</v>
      </c>
      <c r="D57" s="1296">
        <v>2746203</v>
      </c>
      <c r="E57" s="1296">
        <v>68</v>
      </c>
      <c r="F57" s="1296">
        <v>2726819</v>
      </c>
    </row>
    <row r="58" spans="1:6">
      <c r="A58" s="1295" t="s">
        <v>48</v>
      </c>
      <c r="B58" s="1295" t="s">
        <v>50</v>
      </c>
      <c r="C58" s="1296">
        <v>8</v>
      </c>
      <c r="D58" s="1296">
        <v>2245828</v>
      </c>
      <c r="E58" s="1296">
        <v>16</v>
      </c>
      <c r="F58" s="1296">
        <v>532732</v>
      </c>
    </row>
    <row r="59" spans="1:6">
      <c r="A59" s="1295" t="s">
        <v>48</v>
      </c>
      <c r="B59" s="1295" t="s">
        <v>51</v>
      </c>
      <c r="C59" s="1296">
        <v>76</v>
      </c>
      <c r="D59" s="1296">
        <v>3128395</v>
      </c>
      <c r="E59" s="1296">
        <v>198</v>
      </c>
      <c r="F59" s="1296">
        <v>6904295</v>
      </c>
    </row>
    <row r="60" spans="1:6">
      <c r="A60" s="1295" t="s">
        <v>48</v>
      </c>
      <c r="B60" s="1295" t="s">
        <v>52</v>
      </c>
      <c r="C60" s="1296">
        <v>32</v>
      </c>
      <c r="D60" s="1296">
        <v>1356500</v>
      </c>
      <c r="E60" s="1296">
        <v>47</v>
      </c>
      <c r="F60" s="1296">
        <v>832718</v>
      </c>
    </row>
    <row r="61" spans="1:6">
      <c r="A61" s="1295" t="s">
        <v>48</v>
      </c>
      <c r="B61" s="1295" t="s">
        <v>53</v>
      </c>
      <c r="C61" s="1296">
        <v>95</v>
      </c>
      <c r="D61" s="1296">
        <v>2989107</v>
      </c>
      <c r="E61" s="1296">
        <v>215</v>
      </c>
      <c r="F61" s="1296">
        <v>2158836</v>
      </c>
    </row>
    <row r="62" spans="1:6">
      <c r="A62" s="1295" t="s">
        <v>48</v>
      </c>
      <c r="B62" s="1295" t="s">
        <v>54</v>
      </c>
      <c r="C62" s="1296">
        <v>5</v>
      </c>
      <c r="D62" s="1296">
        <v>466151</v>
      </c>
      <c r="E62" s="1296">
        <v>10</v>
      </c>
      <c r="F62" s="1296">
        <v>412179</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65216</v>
      </c>
      <c r="E68" s="1299">
        <v>13</v>
      </c>
      <c r="F68" s="1299">
        <v>188435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55669513</v>
      </c>
      <c r="E73" s="447"/>
      <c r="F73" s="327"/>
    </row>
    <row r="74" spans="1:6">
      <c r="A74" s="1295" t="s">
        <v>63</v>
      </c>
      <c r="B74" s="1295" t="s">
        <v>755</v>
      </c>
      <c r="C74" s="1309" t="s">
        <v>749</v>
      </c>
      <c r="D74" s="1310">
        <v>6289318.3146010125</v>
      </c>
      <c r="E74" s="447"/>
      <c r="F74" s="327"/>
    </row>
    <row r="75" spans="1:6">
      <c r="A75" s="1295" t="s">
        <v>64</v>
      </c>
      <c r="B75" s="1295" t="s">
        <v>754</v>
      </c>
      <c r="C75" s="1309" t="s">
        <v>750</v>
      </c>
      <c r="D75" s="1310">
        <v>10345092</v>
      </c>
      <c r="E75" s="447"/>
      <c r="F75" s="327"/>
    </row>
    <row r="76" spans="1:6">
      <c r="A76" s="1295" t="s">
        <v>64</v>
      </c>
      <c r="B76" s="1295" t="s">
        <v>755</v>
      </c>
      <c r="C76" s="1309" t="s">
        <v>751</v>
      </c>
      <c r="D76" s="1310">
        <v>913136.31460101274</v>
      </c>
      <c r="E76" s="447"/>
      <c r="F76" s="327"/>
    </row>
    <row r="77" spans="1:6">
      <c r="A77" s="1295" t="s">
        <v>65</v>
      </c>
      <c r="B77" s="1295" t="s">
        <v>754</v>
      </c>
      <c r="C77" s="1309" t="s">
        <v>752</v>
      </c>
      <c r="D77" s="1310">
        <v>87269768</v>
      </c>
      <c r="E77" s="447"/>
      <c r="F77" s="327"/>
    </row>
    <row r="78" spans="1:6">
      <c r="A78" s="1290" t="s">
        <v>65</v>
      </c>
      <c r="B78" s="1290" t="s">
        <v>755</v>
      </c>
      <c r="C78" s="1290" t="s">
        <v>753</v>
      </c>
      <c r="D78" s="1311">
        <v>19161587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404505.37079797452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22845.452955909452</v>
      </c>
      <c r="C90" s="327"/>
      <c r="D90" s="327"/>
      <c r="E90" s="327"/>
      <c r="F90" s="327"/>
    </row>
    <row r="91" spans="1:6">
      <c r="A91" s="1295" t="s">
        <v>67</v>
      </c>
      <c r="B91" s="1296">
        <v>2101.6674464102102</v>
      </c>
      <c r="C91" s="327"/>
      <c r="D91" s="327"/>
      <c r="E91" s="327"/>
      <c r="F91" s="327"/>
    </row>
    <row r="92" spans="1:6">
      <c r="A92" s="1290" t="s">
        <v>68</v>
      </c>
      <c r="B92" s="1291">
        <v>2007.4043533784522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2525</v>
      </c>
      <c r="C97" s="327"/>
      <c r="D97" s="327"/>
      <c r="E97" s="327"/>
      <c r="F97" s="327"/>
    </row>
    <row r="98" spans="1:6">
      <c r="A98" s="1295" t="s">
        <v>71</v>
      </c>
      <c r="B98" s="1296">
        <v>2</v>
      </c>
      <c r="C98" s="327"/>
      <c r="D98" s="327"/>
      <c r="E98" s="327"/>
      <c r="F98" s="327"/>
    </row>
    <row r="99" spans="1:6">
      <c r="A99" s="1295" t="s">
        <v>72</v>
      </c>
      <c r="B99" s="1296">
        <v>56</v>
      </c>
      <c r="C99" s="327"/>
      <c r="D99" s="327"/>
      <c r="E99" s="327"/>
      <c r="F99" s="327"/>
    </row>
    <row r="100" spans="1:6">
      <c r="A100" s="1295" t="s">
        <v>73</v>
      </c>
      <c r="B100" s="1296">
        <v>449</v>
      </c>
      <c r="C100" s="327"/>
      <c r="D100" s="327"/>
      <c r="E100" s="327"/>
      <c r="F100" s="327"/>
    </row>
    <row r="101" spans="1:6">
      <c r="A101" s="1295" t="s">
        <v>74</v>
      </c>
      <c r="B101" s="1296">
        <v>96</v>
      </c>
      <c r="C101" s="327"/>
      <c r="D101" s="327"/>
      <c r="E101" s="327"/>
      <c r="F101" s="327"/>
    </row>
    <row r="102" spans="1:6">
      <c r="A102" s="1295" t="s">
        <v>75</v>
      </c>
      <c r="B102" s="1296">
        <v>58</v>
      </c>
      <c r="C102" s="327"/>
      <c r="D102" s="327"/>
      <c r="E102" s="327"/>
      <c r="F102" s="327"/>
    </row>
    <row r="103" spans="1:6">
      <c r="A103" s="1295" t="s">
        <v>76</v>
      </c>
      <c r="B103" s="1296">
        <v>129</v>
      </c>
      <c r="C103" s="327"/>
      <c r="D103" s="327"/>
      <c r="E103" s="327"/>
      <c r="F103" s="327"/>
    </row>
    <row r="104" spans="1:6">
      <c r="A104" s="1295" t="s">
        <v>77</v>
      </c>
      <c r="B104" s="1296">
        <v>902</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10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70</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44034.432306048708</v>
      </c>
      <c r="C3" s="44" t="s">
        <v>169</v>
      </c>
      <c r="D3" s="44"/>
      <c r="E3" s="157"/>
      <c r="F3" s="44"/>
      <c r="G3" s="44"/>
      <c r="H3" s="44"/>
      <c r="I3" s="44"/>
      <c r="J3" s="44"/>
      <c r="K3" s="97"/>
    </row>
    <row r="4" spans="1:11">
      <c r="A4" s="354" t="s">
        <v>170</v>
      </c>
      <c r="B4" s="50">
        <f>IF(ISERROR('SEAP template'!B78+'SEAP template'!C78),0,'SEAP template'!B78+'SEAP template'!C78)</f>
        <v>27403.174755698114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8.3468952048295214E-2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62.357142857142847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1007.874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1007.874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8.3468952048295214E-2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84.126186576723498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19526.010999999999</v>
      </c>
      <c r="C5" s="18">
        <f>IF(ISERROR('Eigen informatie GS &amp; warmtenet'!B57),0,'Eigen informatie GS &amp; warmtenet'!B57)</f>
        <v>0</v>
      </c>
      <c r="D5" s="31">
        <f>(SUM(HH_hh_gas_kWh,HH_rest_gas_kWh)/1000)*0.902</f>
        <v>49758.713642000002</v>
      </c>
      <c r="E5" s="18">
        <f>B32*B41</f>
        <v>821.50558657401177</v>
      </c>
      <c r="F5" s="18">
        <f>B36*B45</f>
        <v>25045.320260871806</v>
      </c>
      <c r="G5" s="19"/>
      <c r="H5" s="18"/>
      <c r="I5" s="18"/>
      <c r="J5" s="18">
        <f>B35*B44+C35*C44</f>
        <v>454.43860919601389</v>
      </c>
      <c r="K5" s="18"/>
      <c r="L5" s="18"/>
      <c r="M5" s="18"/>
      <c r="N5" s="18">
        <f>B34*B43+C34*C43</f>
        <v>6781.3591431639588</v>
      </c>
      <c r="O5" s="18">
        <f>B52*B53*B54</f>
        <v>125.06666666666666</v>
      </c>
      <c r="P5" s="18">
        <f>B60*B61*B62/1000-B60*B61*B62/1000/B63</f>
        <v>76.266666666666666</v>
      </c>
    </row>
    <row r="6" spans="1:16">
      <c r="A6" s="17" t="s">
        <v>628</v>
      </c>
      <c r="B6" s="768">
        <f>kWh_PV_kleiner_dan_10kW</f>
        <v>2101.6674464102102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21627.678446410209</v>
      </c>
      <c r="C8" s="22">
        <f>C5</f>
        <v>0</v>
      </c>
      <c r="D8" s="22">
        <f>D5</f>
        <v>49758.713642000002</v>
      </c>
      <c r="E8" s="22">
        <f>E5</f>
        <v>821.50558657401177</v>
      </c>
      <c r="F8" s="22">
        <f>F5</f>
        <v>25045.320260871806</v>
      </c>
      <c r="G8" s="22"/>
      <c r="H8" s="22"/>
      <c r="I8" s="22"/>
      <c r="J8" s="22">
        <f>J5</f>
        <v>454.43860919601389</v>
      </c>
      <c r="K8" s="22"/>
      <c r="L8" s="22">
        <f>L5</f>
        <v>0</v>
      </c>
      <c r="M8" s="22">
        <f>M5</f>
        <v>0</v>
      </c>
      <c r="N8" s="22">
        <f>N5</f>
        <v>6781.3591431639588</v>
      </c>
      <c r="O8" s="22">
        <f>O5</f>
        <v>125.06666666666666</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8.3468952048295214E-2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1805.2396551593617</v>
      </c>
      <c r="C12" s="24">
        <f ca="1">C10*C8</f>
        <v>0</v>
      </c>
      <c r="D12" s="24">
        <f>D8*D10</f>
        <v>10051.260155684002</v>
      </c>
      <c r="E12" s="24">
        <f>E10*E8</f>
        <v>186.48176815230067</v>
      </c>
      <c r="F12" s="24">
        <f>F10*F8</f>
        <v>6687.1005096527724</v>
      </c>
      <c r="G12" s="24"/>
      <c r="H12" s="24"/>
      <c r="I12" s="24"/>
      <c r="J12" s="24">
        <f>J10*J8</f>
        <v>160.87126765538892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4841</v>
      </c>
      <c r="C26" s="37"/>
      <c r="D26" s="228"/>
    </row>
    <row r="27" spans="1:5" s="16" customFormat="1">
      <c r="A27" s="230" t="s">
        <v>654</v>
      </c>
      <c r="B27" s="38">
        <f>SUM(HH_hh_gas_aantal,HH_rest_gas_aantal)</f>
        <v>3429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3257.55</v>
      </c>
      <c r="C31" s="35" t="s">
        <v>110</v>
      </c>
      <c r="D31" s="174"/>
    </row>
    <row r="32" spans="1:5">
      <c r="A32" s="171" t="s">
        <v>72</v>
      </c>
      <c r="B32" s="34">
        <f>IF((B21*($B$26-($B$27-0.05*$B$27)-$B$60))&lt;0,0,B21*($B$26-($B$27-0.05*$B$27)-$B$60))</f>
        <v>38.815505866210017</v>
      </c>
      <c r="C32" s="35" t="s">
        <v>110</v>
      </c>
      <c r="D32" s="174"/>
    </row>
    <row r="33" spans="1:6">
      <c r="A33" s="171" t="s">
        <v>73</v>
      </c>
      <c r="B33" s="34">
        <f>IF((B22*($B$26-($B$27-0.05*$B$27)-$B$60))&lt;0,0,B22*($B$26-($B$27-0.05*$B$27)-$B$60))</f>
        <v>261.27387883832546</v>
      </c>
      <c r="C33" s="35" t="s">
        <v>110</v>
      </c>
      <c r="D33" s="174"/>
    </row>
    <row r="34" spans="1:6">
      <c r="A34" s="171" t="s">
        <v>74</v>
      </c>
      <c r="B34" s="34">
        <f>IF((B24*($B$26-($B$27-0.05*$B$27)-$B$60))&lt;0,0,B24*($B$26-($B$27-0.05*$B$27)-$B$60))</f>
        <v>66.264562827759846</v>
      </c>
      <c r="C34" s="34">
        <f>B26*C24</f>
        <v>989.99576824597875</v>
      </c>
      <c r="D34" s="233"/>
    </row>
    <row r="35" spans="1:6">
      <c r="A35" s="171" t="s">
        <v>76</v>
      </c>
      <c r="B35" s="34">
        <f>IF((B19*($B$26-($B$27-0.05*$B$27)-$B$60))&lt;0,0,B19*($B$26-($B$27-0.05*$B$27)-$B$60))</f>
        <v>24.635067457680005</v>
      </c>
      <c r="C35" s="34">
        <f>B35/2</f>
        <v>12.317533728840003</v>
      </c>
      <c r="D35" s="233"/>
    </row>
    <row r="36" spans="1:6">
      <c r="A36" s="171" t="s">
        <v>77</v>
      </c>
      <c r="B36" s="34">
        <f>IF((B18*($B$26-($B$27-0.05*$B$27)-$B$60))&lt;0,0,B18*($B$26-($B$27-0.05*$B$27)-$B$60))</f>
        <v>1188.4609850100242</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13567.579</v>
      </c>
      <c r="C5" s="18">
        <f>IF(ISERROR('Eigen informatie GS &amp; warmtenet'!B58),0,'Eigen informatie GS &amp; warmtenet'!B58)</f>
        <v>0</v>
      </c>
      <c r="D5" s="31">
        <f>SUM(D6:D12)</f>
        <v>11664.829968</v>
      </c>
      <c r="E5" s="18">
        <f>SUM(E6:E12)</f>
        <v>107.02570083936494</v>
      </c>
      <c r="F5" s="18">
        <f>SUM(F6:F12)</f>
        <v>2993.9023365307598</v>
      </c>
      <c r="G5" s="19"/>
      <c r="H5" s="18"/>
      <c r="I5" s="18"/>
      <c r="J5" s="18">
        <f>SUM(J6:J12)</f>
        <v>0</v>
      </c>
      <c r="K5" s="18"/>
      <c r="L5" s="18"/>
      <c r="M5" s="18"/>
      <c r="N5" s="18">
        <f>SUM(N6:N12)</f>
        <v>1613.8035397799435</v>
      </c>
      <c r="O5" s="18">
        <f>B38*B39*B40</f>
        <v>0</v>
      </c>
      <c r="P5" s="18">
        <f>B46*B47*B48/1000-B46*B47*B48/1000/B49</f>
        <v>0</v>
      </c>
      <c r="R5" s="33"/>
    </row>
    <row r="6" spans="1:18">
      <c r="A6" s="33" t="s">
        <v>53</v>
      </c>
      <c r="B6" s="38">
        <f>B26</f>
        <v>2158.8359999999998</v>
      </c>
      <c r="C6" s="34"/>
      <c r="D6" s="38">
        <f>IF(ISERROR(TER_kantoor_gas_kWh/1000),0,TER_kantoor_gas_kWh/1000)*0.902</f>
        <v>2696.1745140000003</v>
      </c>
      <c r="E6" s="34">
        <f>$C$26*'E Balans VL '!I12/100/3.6*1000000</f>
        <v>3.5430874199191074</v>
      </c>
      <c r="F6" s="34">
        <f>$C$26*('E Balans VL '!L12+'E Balans VL '!N12)/100/3.6*1000000</f>
        <v>254.47596974730041</v>
      </c>
      <c r="G6" s="35"/>
      <c r="H6" s="34"/>
      <c r="I6" s="34"/>
      <c r="J6" s="34">
        <f>$C$26*('E Balans VL '!D12+'E Balans VL '!E12)/100/3.6*1000000</f>
        <v>0</v>
      </c>
      <c r="K6" s="34"/>
      <c r="L6" s="34"/>
      <c r="M6" s="34"/>
      <c r="N6" s="34">
        <f>$C$26*'E Balans VL '!Y12/100/3.6*1000000</f>
        <v>0.43618259087461564</v>
      </c>
      <c r="O6" s="34"/>
      <c r="P6" s="34"/>
      <c r="R6" s="33"/>
    </row>
    <row r="7" spans="1:18">
      <c r="A7" s="33" t="s">
        <v>52</v>
      </c>
      <c r="B7" s="38">
        <f t="shared" ref="B7:B12" si="0">B27</f>
        <v>832.71799999999996</v>
      </c>
      <c r="C7" s="34"/>
      <c r="D7" s="38">
        <f>IF(ISERROR(TER_horeca_gas_kWh/1000),0,TER_horeca_gas_kWh/1000)*0.902</f>
        <v>1223.5630000000001</v>
      </c>
      <c r="E7" s="34">
        <f>$C$27*'E Balans VL '!I9/100/3.6*1000000</f>
        <v>43.212038523607326</v>
      </c>
      <c r="F7" s="34">
        <f>$C$27*('E Balans VL '!L9+'E Balans VL '!N9)/100/3.6*1000000</f>
        <v>190.02685182317543</v>
      </c>
      <c r="G7" s="35"/>
      <c r="H7" s="34"/>
      <c r="I7" s="34"/>
      <c r="J7" s="34">
        <f>$C$27*('E Balans VL '!D9+'E Balans VL '!E9)/100/3.6*1000000</f>
        <v>0</v>
      </c>
      <c r="K7" s="34"/>
      <c r="L7" s="34"/>
      <c r="M7" s="34"/>
      <c r="N7" s="34">
        <f>$C$27*'E Balans VL '!Y9/100/3.6*1000000</f>
        <v>8.793463919032786E-2</v>
      </c>
      <c r="O7" s="34"/>
      <c r="P7" s="34"/>
      <c r="R7" s="33"/>
    </row>
    <row r="8" spans="1:18">
      <c r="A8" s="6" t="s">
        <v>51</v>
      </c>
      <c r="B8" s="38">
        <f t="shared" si="0"/>
        <v>6904.2950000000001</v>
      </c>
      <c r="C8" s="34"/>
      <c r="D8" s="38">
        <f>IF(ISERROR(TER_handel_gas_kWh/1000),0,TER_handel_gas_kWh/1000)*0.902</f>
        <v>2821.8122899999998</v>
      </c>
      <c r="E8" s="34">
        <f>$C$28*'E Balans VL '!I13/100/3.6*1000000</f>
        <v>37.18047700009069</v>
      </c>
      <c r="F8" s="34">
        <f>$C$28*('E Balans VL '!L13+'E Balans VL '!N13)/100/3.6*1000000</f>
        <v>1407.9909276677565</v>
      </c>
      <c r="G8" s="35"/>
      <c r="H8" s="34"/>
      <c r="I8" s="34"/>
      <c r="J8" s="34">
        <f>$C$28*('E Balans VL '!D13+'E Balans VL '!E13)/100/3.6*1000000</f>
        <v>0</v>
      </c>
      <c r="K8" s="34"/>
      <c r="L8" s="34"/>
      <c r="M8" s="34"/>
      <c r="N8" s="34">
        <f>$C$28*'E Balans VL '!Y13/100/3.6*1000000</f>
        <v>34.331412981272052</v>
      </c>
      <c r="O8" s="34"/>
      <c r="P8" s="34"/>
      <c r="R8" s="33"/>
    </row>
    <row r="9" spans="1:18">
      <c r="A9" s="33" t="s">
        <v>50</v>
      </c>
      <c r="B9" s="38">
        <f t="shared" si="0"/>
        <v>532.73199999999997</v>
      </c>
      <c r="C9" s="34"/>
      <c r="D9" s="38">
        <f>IF(ISERROR(TER_gezond_gas_kWh/1000),0,TER_gezond_gas_kWh/1000)*0.902</f>
        <v>2025.736856</v>
      </c>
      <c r="E9" s="34">
        <f>$C$29*'E Balans VL '!I10/100/3.6*1000000</f>
        <v>0.5279434702032314</v>
      </c>
      <c r="F9" s="34">
        <f>$C$29*('E Balans VL '!L10+'E Balans VL '!N10)/100/3.6*1000000</f>
        <v>184.84264858920045</v>
      </c>
      <c r="G9" s="35"/>
      <c r="H9" s="34"/>
      <c r="I9" s="34"/>
      <c r="J9" s="34">
        <f>$C$29*('E Balans VL '!D10+'E Balans VL '!E10)/100/3.6*1000000</f>
        <v>0</v>
      </c>
      <c r="K9" s="34"/>
      <c r="L9" s="34"/>
      <c r="M9" s="34"/>
      <c r="N9" s="34">
        <f>$C$29*'E Balans VL '!Y10/100/3.6*1000000</f>
        <v>4.5905054936480987</v>
      </c>
      <c r="O9" s="34"/>
      <c r="P9" s="34"/>
      <c r="R9" s="33"/>
    </row>
    <row r="10" spans="1:18">
      <c r="A10" s="33" t="s">
        <v>49</v>
      </c>
      <c r="B10" s="38">
        <f t="shared" si="0"/>
        <v>2726.819</v>
      </c>
      <c r="C10" s="34"/>
      <c r="D10" s="38">
        <f>IF(ISERROR(TER_ander_gas_kWh/1000),0,TER_ander_gas_kWh/1000)*0.902</f>
        <v>2477.0751060000002</v>
      </c>
      <c r="E10" s="34">
        <f>$C$30*'E Balans VL '!I14/100/3.6*1000000</f>
        <v>22.308104681503266</v>
      </c>
      <c r="F10" s="34">
        <f>$C$30*('E Balans VL '!L14+'E Balans VL '!N14)/100/3.6*1000000</f>
        <v>797.21086220072345</v>
      </c>
      <c r="G10" s="35"/>
      <c r="H10" s="34"/>
      <c r="I10" s="34"/>
      <c r="J10" s="34">
        <f>$C$30*('E Balans VL '!D14+'E Balans VL '!E14)/100/3.6*1000000</f>
        <v>0</v>
      </c>
      <c r="K10" s="34"/>
      <c r="L10" s="34"/>
      <c r="M10" s="34"/>
      <c r="N10" s="34">
        <f>$C$30*'E Balans VL '!Y14/100/3.6*1000000</f>
        <v>1573.0167741160324</v>
      </c>
      <c r="O10" s="34"/>
      <c r="P10" s="34"/>
      <c r="R10" s="33"/>
    </row>
    <row r="11" spans="1:18">
      <c r="A11" s="33" t="s">
        <v>54</v>
      </c>
      <c r="B11" s="38">
        <f t="shared" si="0"/>
        <v>412.17899999999997</v>
      </c>
      <c r="C11" s="34"/>
      <c r="D11" s="38">
        <f>IF(ISERROR(TER_onderwijs_gas_kWh/1000),0,TER_onderwijs_gas_kWh/1000)*0.902</f>
        <v>420.46820200000002</v>
      </c>
      <c r="E11" s="34">
        <f>$C$31*'E Balans VL '!I11/100/3.6*1000000</f>
        <v>0.25404974404132441</v>
      </c>
      <c r="F11" s="34">
        <f>$C$31*('E Balans VL '!L11+'E Balans VL '!N11)/100/3.6*1000000</f>
        <v>159.35507650260351</v>
      </c>
      <c r="G11" s="35"/>
      <c r="H11" s="34"/>
      <c r="I11" s="34"/>
      <c r="J11" s="34">
        <f>$C$31*('E Balans VL '!D11+'E Balans VL '!E11)/100/3.6*1000000</f>
        <v>0</v>
      </c>
      <c r="K11" s="34"/>
      <c r="L11" s="34"/>
      <c r="M11" s="34"/>
      <c r="N11" s="34">
        <f>$C$31*'E Balans VL '!Y11/100/3.6*1000000</f>
        <v>1.3407299589262316</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13567.579</v>
      </c>
      <c r="C16" s="22">
        <f t="shared" ca="1" si="1"/>
        <v>0</v>
      </c>
      <c r="D16" s="22">
        <f t="shared" ca="1" si="1"/>
        <v>11664.829968</v>
      </c>
      <c r="E16" s="22">
        <f t="shared" si="1"/>
        <v>107.02570083936494</v>
      </c>
      <c r="F16" s="22">
        <f t="shared" ca="1" si="1"/>
        <v>2993.9023365307598</v>
      </c>
      <c r="G16" s="22">
        <f t="shared" si="1"/>
        <v>0</v>
      </c>
      <c r="H16" s="22">
        <f t="shared" si="1"/>
        <v>0</v>
      </c>
      <c r="I16" s="22">
        <f t="shared" si="1"/>
        <v>0</v>
      </c>
      <c r="J16" s="22">
        <f t="shared" si="1"/>
        <v>0</v>
      </c>
      <c r="K16" s="22">
        <f t="shared" si="1"/>
        <v>0</v>
      </c>
      <c r="L16" s="22">
        <f t="shared" ca="1" si="1"/>
        <v>0</v>
      </c>
      <c r="M16" s="22">
        <f t="shared" si="1"/>
        <v>0</v>
      </c>
      <c r="N16" s="22">
        <f t="shared" ca="1" si="1"/>
        <v>1613.8035397799435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8.3468952048295214E-2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1132.4716009624572</v>
      </c>
      <c r="C20" s="24">
        <f t="shared" ref="C20:P20" ca="1" si="2">C16*C18</f>
        <v>0</v>
      </c>
      <c r="D20" s="24">
        <f t="shared" ca="1" si="2"/>
        <v>2356.2956535360004</v>
      </c>
      <c r="E20" s="24">
        <f t="shared" si="2"/>
        <v>24.294834090535844</v>
      </c>
      <c r="F20" s="24">
        <f t="shared" ca="1" si="2"/>
        <v>799.37192385371293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2158.8359999999998</v>
      </c>
      <c r="C26" s="40">
        <f>IF(ISERROR(B26*3.6/1000000/'E Balans VL '!Z12*100),0,B26*3.6/1000000/'E Balans VL '!Z12*100)</f>
        <v>4.5873716831686139E-2</v>
      </c>
      <c r="D26" s="236" t="s">
        <v>691</v>
      </c>
      <c r="F26" s="6"/>
    </row>
    <row r="27" spans="1:18">
      <c r="A27" s="231" t="s">
        <v>52</v>
      </c>
      <c r="B27" s="34">
        <f>IF(ISERROR(TER_horeca_ele_kWh/1000),0,TER_horeca_ele_kWh/1000)</f>
        <v>832.71799999999996</v>
      </c>
      <c r="C27" s="40">
        <f>IF(ISERROR(B27*3.6/1000000/'E Balans VL '!Z9*100),0,B27*3.6/1000000/'E Balans VL '!Z9*100)</f>
        <v>6.5541345980368593E-2</v>
      </c>
      <c r="D27" s="236" t="s">
        <v>691</v>
      </c>
      <c r="F27" s="6"/>
    </row>
    <row r="28" spans="1:18">
      <c r="A28" s="171" t="s">
        <v>51</v>
      </c>
      <c r="B28" s="34">
        <f>IF(ISERROR(TER_handel_ele_kWh/1000),0,TER_handel_ele_kWh/1000)</f>
        <v>6904.2950000000001</v>
      </c>
      <c r="C28" s="40">
        <f>IF(ISERROR(B28*3.6/1000000/'E Balans VL '!Z13*100),0,B28*3.6/1000000/'E Balans VL '!Z13*100)</f>
        <v>0.19339299798280515</v>
      </c>
      <c r="D28" s="236" t="s">
        <v>691</v>
      </c>
      <c r="F28" s="6"/>
    </row>
    <row r="29" spans="1:18">
      <c r="A29" s="231" t="s">
        <v>50</v>
      </c>
      <c r="B29" s="34">
        <f>IF(ISERROR(TER_gezond_ele_kWh/1000),0,TER_gezond_ele_kWh/1000)</f>
        <v>532.73199999999997</v>
      </c>
      <c r="C29" s="40">
        <f>IF(ISERROR(B29*3.6/1000000/'E Balans VL '!Z10*100),0,B29*3.6/1000000/'E Balans VL '!Z10*100)</f>
        <v>6.8152531966893096E-2</v>
      </c>
      <c r="D29" s="236" t="s">
        <v>691</v>
      </c>
      <c r="F29" s="6"/>
    </row>
    <row r="30" spans="1:18">
      <c r="A30" s="231" t="s">
        <v>49</v>
      </c>
      <c r="B30" s="34">
        <f>IF(ISERROR(TER_ander_ele_kWh/1000),0,TER_ander_ele_kWh/1000)</f>
        <v>2726.819</v>
      </c>
      <c r="C30" s="40">
        <f>IF(ISERROR(B30*3.6/1000000/'E Balans VL '!Z14*100),0,B30*3.6/1000000/'E Balans VL '!Z14*100)</f>
        <v>0.20394308462173041</v>
      </c>
      <c r="D30" s="236" t="s">
        <v>691</v>
      </c>
      <c r="F30" s="6"/>
    </row>
    <row r="31" spans="1:18">
      <c r="A31" s="231" t="s">
        <v>54</v>
      </c>
      <c r="B31" s="34">
        <f>IF(ISERROR(TER_onderwijs_ele_kWh/1000),0,TER_onderwijs_ele_kWh/1000)</f>
        <v>412.17899999999997</v>
      </c>
      <c r="C31" s="40">
        <f>IF(ISERROR(B31*3.6/1000000/'E Balans VL '!Z11*100),0,B31*3.6/1000000/'E Balans VL '!Z11*100)</f>
        <v>8.7032129758275345E-2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4240.107</v>
      </c>
      <c r="C5" s="18">
        <f>IF(ISERROR('Eigen informatie GS &amp; warmtenet'!B59),0,'Eigen informatie GS &amp; warmtenet'!B59)</f>
        <v>0</v>
      </c>
      <c r="D5" s="31">
        <f>SUM(D6:D15)</f>
        <v>6675.294296</v>
      </c>
      <c r="E5" s="18">
        <f>SUM(E6:E15)</f>
        <v>59.154553006694371</v>
      </c>
      <c r="F5" s="18">
        <f>SUM(F6:F15)</f>
        <v>1367.0992998395411</v>
      </c>
      <c r="G5" s="19"/>
      <c r="H5" s="18"/>
      <c r="I5" s="18"/>
      <c r="J5" s="18">
        <f>SUM(J6:J15)</f>
        <v>21.031468862020336</v>
      </c>
      <c r="K5" s="18"/>
      <c r="L5" s="18"/>
      <c r="M5" s="18"/>
      <c r="N5" s="18">
        <f>SUM(N6:N15)</f>
        <v>210.90514650108179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477.98899999999998</v>
      </c>
      <c r="C8" s="34"/>
      <c r="D8" s="38">
        <f>IF( ISERROR(IND_metaal_Gas_kWH/1000),0,IND_metaal_Gas_kWH/1000)*0.902</f>
        <v>457.02806600000002</v>
      </c>
      <c r="E8" s="34">
        <f>C30*'E Balans VL '!I18/100/3.6*1000000</f>
        <v>4.3529596834769171</v>
      </c>
      <c r="F8" s="34">
        <f>C30*'E Balans VL '!L18/100/3.6*1000000+C30*'E Balans VL '!N18/100/3.6*1000000</f>
        <v>63.043119189188317</v>
      </c>
      <c r="G8" s="35"/>
      <c r="H8" s="34"/>
      <c r="I8" s="34"/>
      <c r="J8" s="41">
        <f>C30*'E Balans VL '!D18/100/3.6*1000000+C30*'E Balans VL '!E18/100/3.6*1000000</f>
        <v>7.8383255849627345</v>
      </c>
      <c r="K8" s="34"/>
      <c r="L8" s="34"/>
      <c r="M8" s="34"/>
      <c r="N8" s="34">
        <f>C30*'E Balans VL '!Y18/100/3.6*1000000</f>
        <v>1.6426583123568306</v>
      </c>
      <c r="O8" s="34"/>
      <c r="P8" s="34"/>
      <c r="R8" s="33"/>
    </row>
    <row r="9" spans="1:18">
      <c r="A9" s="6" t="s">
        <v>32</v>
      </c>
      <c r="B9" s="38">
        <f t="shared" si="0"/>
        <v>867.47799999999995</v>
      </c>
      <c r="C9" s="34"/>
      <c r="D9" s="38">
        <f>IF( ISERROR(IND_andere_gas_kWh/1000),0,IND_andere_gas_kWh/1000)*0.902</f>
        <v>4927.4618360000004</v>
      </c>
      <c r="E9" s="34">
        <f>C31*'E Balans VL '!I19/100/3.6*1000000</f>
        <v>5.0141524738646961</v>
      </c>
      <c r="F9" s="34">
        <f>C31*'E Balans VL '!L19/100/3.6*1000000+C31*'E Balans VL '!N19/100/3.6*1000000</f>
        <v>690.12049038959231</v>
      </c>
      <c r="G9" s="35"/>
      <c r="H9" s="34"/>
      <c r="I9" s="34"/>
      <c r="J9" s="41">
        <f>C31*'E Balans VL '!D19/100/3.6*1000000+C31*'E Balans VL '!E19/100/3.6*1000000</f>
        <v>8.2053783127294833E-2</v>
      </c>
      <c r="K9" s="34"/>
      <c r="L9" s="34"/>
      <c r="M9" s="34"/>
      <c r="N9" s="34">
        <f>C31*'E Balans VL '!Y19/100/3.6*1000000</f>
        <v>65.724586311107032</v>
      </c>
      <c r="O9" s="34"/>
      <c r="P9" s="34"/>
      <c r="R9" s="33"/>
    </row>
    <row r="10" spans="1:18">
      <c r="A10" s="6" t="s">
        <v>40</v>
      </c>
      <c r="B10" s="38">
        <f t="shared" si="0"/>
        <v>336.51799999999997</v>
      </c>
      <c r="C10" s="34"/>
      <c r="D10" s="38">
        <f>IF( ISERROR(IND_voed_gas_kWh/1000),0,IND_voed_gas_kWh/1000)*0.902</f>
        <v>324.96714800000001</v>
      </c>
      <c r="E10" s="34">
        <f>C32*'E Balans VL '!I20/100/3.6*1000000</f>
        <v>3.3088523220081236</v>
      </c>
      <c r="F10" s="34">
        <f>C32*'E Balans VL '!L20/100/3.6*1000000+C32*'E Balans VL '!N20/100/3.6*1000000</f>
        <v>37.374716349785366</v>
      </c>
      <c r="G10" s="35"/>
      <c r="H10" s="34"/>
      <c r="I10" s="34"/>
      <c r="J10" s="41">
        <f>C32*'E Balans VL '!D20/100/3.6*1000000+C32*'E Balans VL '!E20/100/3.6*1000000</f>
        <v>1.3263702079794784E-3</v>
      </c>
      <c r="K10" s="34"/>
      <c r="L10" s="34"/>
      <c r="M10" s="34"/>
      <c r="N10" s="34">
        <f>C32*'E Balans VL '!Y20/100/3.6*1000000</f>
        <v>4.9830400062260081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1020.421</v>
      </c>
      <c r="C12" s="34"/>
      <c r="D12" s="38">
        <f>IF( ISERROR(IND_min_gas_kWh/1000),0,IND_min_gas_kWh/1000)*0.902</f>
        <v>592.00154200000009</v>
      </c>
      <c r="E12" s="34">
        <f>C34*'E Balans VL '!I22/100/3.6*1000000</f>
        <v>25.86948818414686</v>
      </c>
      <c r="F12" s="34">
        <f>C34*'E Balans VL '!L22/100/3.6*1000000+C34*'E Balans VL '!N22/100/3.6*1000000</f>
        <v>282.35404746951582</v>
      </c>
      <c r="G12" s="35"/>
      <c r="H12" s="34"/>
      <c r="I12" s="34"/>
      <c r="J12" s="41">
        <f>C34*'E Balans VL '!D22/100/3.6*1000000+C34*'E Balans VL '!E22/100/3.6*1000000</f>
        <v>6.7390653385467321</v>
      </c>
      <c r="K12" s="34"/>
      <c r="L12" s="34"/>
      <c r="M12" s="34"/>
      <c r="N12" s="34">
        <f>C34*'E Balans VL '!Y22/100/3.6*1000000</f>
        <v>0</v>
      </c>
      <c r="O12" s="34"/>
      <c r="P12" s="34"/>
      <c r="R12" s="33"/>
    </row>
    <row r="13" spans="1:18">
      <c r="A13" s="6" t="s">
        <v>38</v>
      </c>
      <c r="B13" s="38">
        <f t="shared" si="0"/>
        <v>270.851</v>
      </c>
      <c r="C13" s="34"/>
      <c r="D13" s="38">
        <f>IF( ISERROR(IND_papier_gas_kWh/1000),0,IND_papier_gas_kWh/1000)*0.902</f>
        <v>357.17666600000001</v>
      </c>
      <c r="E13" s="34">
        <f>C35*'E Balans VL '!I23/100/3.6*1000000</f>
        <v>9.2255777685604112</v>
      </c>
      <c r="F13" s="34">
        <f>C35*'E Balans VL '!L23/100/3.6*1000000+C35*'E Balans VL '!N23/100/3.6*1000000</f>
        <v>44.73822846386237</v>
      </c>
      <c r="G13" s="35"/>
      <c r="H13" s="34"/>
      <c r="I13" s="34"/>
      <c r="J13" s="41">
        <f>C35*'E Balans VL '!D23/100/3.6*1000000+C35*'E Balans VL '!E23/100/3.6*1000000</f>
        <v>0</v>
      </c>
      <c r="K13" s="34"/>
      <c r="L13" s="34"/>
      <c r="M13" s="34"/>
      <c r="N13" s="34">
        <f>C35*'E Balans VL '!Y23/100/3.6*1000000</f>
        <v>99.66590433925937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1266.8499999999999</v>
      </c>
      <c r="C15" s="34"/>
      <c r="D15" s="38">
        <f>IF( ISERROR(IND_rest_gas_kWh/1000),0,IND_rest_gas_kWh/1000)*0.902</f>
        <v>16.659038000000002</v>
      </c>
      <c r="E15" s="34">
        <f>C37*'E Balans VL '!I15/100/3.6*1000000</f>
        <v>11.383522574637364</v>
      </c>
      <c r="F15" s="34">
        <f>C37*'E Balans VL '!L15/100/3.6*1000000+C37*'E Balans VL '!N15/100/3.6*1000000</f>
        <v>249.46869797759683</v>
      </c>
      <c r="G15" s="35"/>
      <c r="H15" s="34"/>
      <c r="I15" s="34"/>
      <c r="J15" s="41">
        <f>C37*'E Balans VL '!D15/100/3.6*1000000+C37*'E Balans VL '!E15/100/3.6*1000000</f>
        <v>6.3706977851755955</v>
      </c>
      <c r="K15" s="34"/>
      <c r="L15" s="34"/>
      <c r="M15" s="34"/>
      <c r="N15" s="34">
        <f>C37*'E Balans VL '!Y15/100/3.6*1000000</f>
        <v>38.888957532132572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4240.107</v>
      </c>
      <c r="C18" s="22">
        <f>C5+C16</f>
        <v>0</v>
      </c>
      <c r="D18" s="22">
        <f>MAX((D5+D16),0)</f>
        <v>6675.294296</v>
      </c>
      <c r="E18" s="22">
        <f>MAX((E5+E16),0)</f>
        <v>59.154553006694371</v>
      </c>
      <c r="F18" s="22">
        <f>MAX((F5+F16),0)</f>
        <v>1367.0992998395411</v>
      </c>
      <c r="G18" s="22"/>
      <c r="H18" s="22"/>
      <c r="I18" s="22"/>
      <c r="J18" s="22">
        <f>MAX((J5+J16),0)</f>
        <v>21.031468862020336</v>
      </c>
      <c r="K18" s="22"/>
      <c r="L18" s="22">
        <f>MAX((L5+L16),0)</f>
        <v>0</v>
      </c>
      <c r="M18" s="22"/>
      <c r="N18" s="22">
        <f>MAX((N5+N16),0)</f>
        <v>210.90514650108179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8.3468952048295214E-2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353.91728786264088</v>
      </c>
      <c r="C22" s="24">
        <f ca="1">C18*C20</f>
        <v>0</v>
      </c>
      <c r="D22" s="24">
        <f>D18*D20</f>
        <v>1348.409447792</v>
      </c>
      <c r="E22" s="24">
        <f>E18*E20</f>
        <v>13.428083532519622</v>
      </c>
      <c r="F22" s="24">
        <f>F18*F20</f>
        <v>365.01551305715748</v>
      </c>
      <c r="G22" s="24"/>
      <c r="H22" s="24"/>
      <c r="I22" s="24"/>
      <c r="J22" s="24">
        <f>J18*J20</f>
        <v>7.4451399771551987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477.98899999999998</v>
      </c>
      <c r="C30" s="40">
        <f>IF(ISERROR(B30*3.6/1000000/'E Balans VL '!Z18*100),0,B30*3.6/1000000/'E Balans VL '!Z18*100)</f>
        <v>2.6596891564980293E-2</v>
      </c>
      <c r="D30" s="236" t="s">
        <v>691</v>
      </c>
    </row>
    <row r="31" spans="1:18">
      <c r="A31" s="6" t="s">
        <v>32</v>
      </c>
      <c r="B31" s="38">
        <f>IF( ISERROR(IND_ander_ele_kWh/1000),0,IND_ander_ele_kWh/1000)</f>
        <v>867.47799999999995</v>
      </c>
      <c r="C31" s="40">
        <f>IF(ISERROR(B31*3.6/1000000/'E Balans VL '!Z19*100),0,B31*3.6/1000000/'E Balans VL '!Z19*100)</f>
        <v>4.0326773960172209E-2</v>
      </c>
      <c r="D31" s="236" t="s">
        <v>691</v>
      </c>
    </row>
    <row r="32" spans="1:18">
      <c r="A32" s="171" t="s">
        <v>40</v>
      </c>
      <c r="B32" s="38">
        <f>IF( ISERROR(IND_voed_ele_kWh/1000),0,IND_voed_ele_kWh/1000)</f>
        <v>336.51799999999997</v>
      </c>
      <c r="C32" s="40">
        <f>IF(ISERROR(B32*3.6/1000000/'E Balans VL '!Z20*100),0,B32*3.6/1000000/'E Balans VL '!Z20*100)</f>
        <v>1.1895231673116504E-2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1020.421</v>
      </c>
      <c r="C34" s="40">
        <f>IF(ISERROR(B34*3.6/1000000/'E Balans VL '!Z22*100),0,B34*3.6/1000000/'E Balans VL '!Z22*100)</f>
        <v>0.20507584609993412</v>
      </c>
      <c r="D34" s="236" t="s">
        <v>691</v>
      </c>
    </row>
    <row r="35" spans="1:5">
      <c r="A35" s="171" t="s">
        <v>38</v>
      </c>
      <c r="B35" s="38">
        <f>IF( ISERROR(IND_papier_ele_kWh/1000),0,IND_papier_ele_kWh/1000)</f>
        <v>270.851</v>
      </c>
      <c r="C35" s="40">
        <f>IF(ISERROR(B35*3.6/1000000/'E Balans VL '!Z22*100),0,B35*3.6/1000000/'E Balans VL '!Z22*100)</f>
        <v>5.4433413259834189E-2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1266.8499999999999</v>
      </c>
      <c r="C37" s="40">
        <f>IF(ISERROR(B37*3.6/1000000/'E Balans VL '!Z15*100),0,B37*3.6/1000000/'E Balans VL '!Z15*100)</f>
        <v>9.5665889204367815E-3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3097.2040000000002</v>
      </c>
      <c r="C5" s="18">
        <f>'Eigen informatie GS &amp; warmtenet'!B60</f>
        <v>0</v>
      </c>
      <c r="D5" s="31">
        <f>IF(ISERROR(SUM(LB_lb_gas_kWh,LB_rest_gas_kWh)/1000),0,SUM(LB_lb_gas_kWh,LB_rest_gas_kWh)/1000)*0.902</f>
        <v>2085.4582759999998</v>
      </c>
      <c r="E5" s="18">
        <f>B17*'E Balans VL '!I25/3.6*1000000/100</f>
        <v>29.177736874752817</v>
      </c>
      <c r="F5" s="18">
        <f>B17*('E Balans VL '!L25/3.6*1000000+'E Balans VL '!N25/3.6*1000000)/100</f>
        <v>10107.204523736551</v>
      </c>
      <c r="G5" s="19"/>
      <c r="H5" s="18"/>
      <c r="I5" s="18"/>
      <c r="J5" s="18">
        <f>('E Balans VL '!D25+'E Balans VL '!E25)/3.6*1000000*landbouw!B17/100</f>
        <v>383.13919959736222</v>
      </c>
      <c r="K5" s="18"/>
      <c r="L5" s="18">
        <f>L6*(-1)</f>
        <v>1012.5</v>
      </c>
      <c r="M5" s="18"/>
      <c r="N5" s="18">
        <f>N6*(-1)</f>
        <v>124.71428571428569</v>
      </c>
      <c r="O5" s="18"/>
      <c r="P5" s="18"/>
      <c r="R5" s="33"/>
    </row>
    <row r="6" spans="1:18">
      <c r="A6" s="17" t="s">
        <v>495</v>
      </c>
      <c r="B6" s="18" t="s">
        <v>210</v>
      </c>
      <c r="C6" s="18">
        <f>'lokale energieproductie'!O39+'lokale energieproductie'!O32</f>
        <v>62.357142857142847</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-1012.5</v>
      </c>
      <c r="M6" s="247"/>
      <c r="N6" s="305">
        <f>('lokale energieproductie'!V32+'lokale energieproductie'!R32+'lokale energieproductie'!Q32+'lokale energieproductie'!Q39+'lokale energieproductie'!R39+'lokale energieproductie'!V39)*(-1)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3097.2040000000002</v>
      </c>
      <c r="C8" s="22">
        <f>C5+C6</f>
        <v>62.357142857142847</v>
      </c>
      <c r="D8" s="22">
        <f>MAX((D5+D6),0)</f>
        <v>2085.4582759999998</v>
      </c>
      <c r="E8" s="22">
        <f>MAX((E5+E6),0)</f>
        <v>29.177736874752817</v>
      </c>
      <c r="F8" s="22">
        <f>MAX((F5+F6),0)</f>
        <v>10107.204523736551</v>
      </c>
      <c r="G8" s="22"/>
      <c r="H8" s="22"/>
      <c r="I8" s="22"/>
      <c r="J8" s="22">
        <f>MAX((J5+J6),0)</f>
        <v>383.13919959736222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8.3468952048295214E-2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258.52037215978817</v>
      </c>
      <c r="C12" s="24">
        <f ca="1">C8*C10</f>
        <v>0</v>
      </c>
      <c r="D12" s="24">
        <f>D8*D10</f>
        <v>421.26257175199999</v>
      </c>
      <c r="E12" s="24">
        <f>E8*E10</f>
        <v>6.6233462705688897</v>
      </c>
      <c r="F12" s="24">
        <f>F8*F10</f>
        <v>2698.6236078376592</v>
      </c>
      <c r="G12" s="24"/>
      <c r="H12" s="24"/>
      <c r="I12" s="24"/>
      <c r="J12" s="24">
        <f>J8*J10</f>
        <v>135.63127665746623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0.41931192986218091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412.930126599505</v>
      </c>
      <c r="C26" s="246">
        <f>B26*'GWP N2O_CH4'!B5</f>
        <v>8671.5326585896055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176.91524153195013</v>
      </c>
      <c r="C27" s="246">
        <f>B27*'GWP N2O_CH4'!B5</f>
        <v>3715.2200721709528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6.4118169016078408</v>
      </c>
      <c r="C28" s="246">
        <f>B28*'GWP N2O_CH4'!B4</f>
        <v>1987.6632394984306</v>
      </c>
      <c r="D28" s="51"/>
    </row>
    <row r="29" spans="1:4">
      <c r="A29" s="42" t="s">
        <v>272</v>
      </c>
      <c r="B29" s="246">
        <f>B34*'ha_N2O bodem landbouw'!B4</f>
        <v>17.412006844521454</v>
      </c>
      <c r="C29" s="246">
        <f>B29*'GWP N2O_CH4'!B4</f>
        <v>5397.7221218016502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4.7006937133991364E-3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2.3503077238615377E-5</v>
      </c>
      <c r="C5" s="435" t="s">
        <v>210</v>
      </c>
      <c r="D5" s="420">
        <f>SUM(D6:D11)</f>
        <v>2.6071761398595331E-5</v>
      </c>
      <c r="E5" s="420">
        <f>SUM(E6:E11)</f>
        <v>1.890922332085256E-3</v>
      </c>
      <c r="F5" s="433" t="s">
        <v>210</v>
      </c>
      <c r="G5" s="420">
        <f>SUM(G6:G11)</f>
        <v>0.52792960420821344</v>
      </c>
      <c r="H5" s="420">
        <f>SUM(H6:H11)</f>
        <v>6.509774148871221E-2</v>
      </c>
      <c r="I5" s="435" t="s">
        <v>210</v>
      </c>
      <c r="J5" s="435" t="s">
        <v>210</v>
      </c>
      <c r="K5" s="435" t="s">
        <v>210</v>
      </c>
      <c r="L5" s="435" t="s">
        <v>210</v>
      </c>
      <c r="M5" s="420">
        <f>SUM(M6:M11)</f>
        <v>2.6472384041977087E-2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7.816184186376096E-6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9.1033649069686918E-6</v>
      </c>
      <c r="E6" s="423">
        <f>vkm_GW_PW*SUMIFS(TableVerdeelsleutelVkm[LPG],TableVerdeelsleutelVkm[Voertuigtype],"Lichte voertuigen")*SUMIFS(TableECFTransport[EnergieConsumptieFactor (PJ per km)],TableECFTransport[Index],CONCATENATE($A6,"_LPG_LPG"))</f>
        <v>5.9060292218966791E-4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9.2145159768349361E-2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2.2206968925284062E-2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5.1172652061835964E-3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3.6814350614907502E-7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6.0899060420563048E-2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1.6341388010152207E-6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2.7098095247755647E-3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1.5165329959925606E-6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2.8847067010520571E-6</v>
      </c>
      <c r="E8" s="423">
        <f>vkm_NGW_PW*SUMIFS(TableVerdeelsleutelVkm[LPG],TableVerdeelsleutelVkm[Voertuigtype],"Lichte voertuigen")*SUMIFS(TableECFTransport[EnergieConsumptieFactor (PJ per km)],TableECFTransport[Index],CONCATENATE($A8,"_LPG_LPG"))</f>
        <v>1.773199231306511E-4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2.6044353379254242E-2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6.707976386690062E-3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1.4661244421578826E-3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5.3450181344587833E-8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1.1338292481658439E-2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2.8637653304796321E-7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5.0451620926699598E-4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1.2627148179197638E-5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1.4083689790574581E-5</v>
      </c>
      <c r="E10" s="423">
        <f>vkm_SW_PW*SUMIFS(TableVerdeelsleutelVkm[LPG],TableVerdeelsleutelVkm[Voertuigtype],"Lichte voertuigen")*SUMIFS(TableECFTransport[EnergieConsumptieFactor (PJ per km)],TableECFTransport[Index],CONCATENATE($A10,"_LPG_LPG"))</f>
        <v>1.1229994867649369E-3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0.16370407272047297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3.6175751211157098E-2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8.9411739026945269E-3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1.1216181895554205E-6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0.17379866543791547</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5.124450246936627E-6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7.7334947568985209E-3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6.5286325662820488</v>
      </c>
      <c r="C14" s="22"/>
      <c r="D14" s="22">
        <f t="shared" ref="D14:M14" si="0">((D5)*10^9/3600)+D12</f>
        <v>7.2421559440542591</v>
      </c>
      <c r="E14" s="22">
        <f t="shared" si="0"/>
        <v>525.25620335701558</v>
      </c>
      <c r="F14" s="22"/>
      <c r="G14" s="22">
        <f t="shared" si="0"/>
        <v>146647.11228005929</v>
      </c>
      <c r="H14" s="22">
        <f t="shared" si="0"/>
        <v>18082.705969086725</v>
      </c>
      <c r="I14" s="22"/>
      <c r="J14" s="22"/>
      <c r="K14" s="22"/>
      <c r="L14" s="22"/>
      <c r="M14" s="22">
        <f t="shared" si="0"/>
        <v>7353.440011660301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8.3468952048295214E-2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0.54493811861593489</v>
      </c>
      <c r="C18" s="24"/>
      <c r="D18" s="24">
        <f t="shared" ref="D18:M18" si="1">D14*D16</f>
        <v>1.4629155006989605</v>
      </c>
      <c r="E18" s="24">
        <f t="shared" si="1"/>
        <v>119.23315816204254</v>
      </c>
      <c r="F18" s="24"/>
      <c r="G18" s="24">
        <f t="shared" si="1"/>
        <v>39154.77897877583</v>
      </c>
      <c r="H18" s="24">
        <f t="shared" si="1"/>
        <v>4502.5937863025947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2.6432017459993118E-5</v>
      </c>
      <c r="C50" s="316">
        <f t="shared" ref="C50:P50" si="2">SUM(C51:C52)</f>
        <v>0</v>
      </c>
      <c r="D50" s="316">
        <f t="shared" si="2"/>
        <v>0</v>
      </c>
      <c r="E50" s="316">
        <f t="shared" si="2"/>
        <v>0</v>
      </c>
      <c r="F50" s="316">
        <f t="shared" si="2"/>
        <v>0</v>
      </c>
      <c r="G50" s="316">
        <f t="shared" si="2"/>
        <v>5.2719179948453269E-3</v>
      </c>
      <c r="H50" s="316">
        <f t="shared" si="2"/>
        <v>0</v>
      </c>
      <c r="I50" s="316">
        <f t="shared" si="2"/>
        <v>0</v>
      </c>
      <c r="J50" s="316">
        <f t="shared" si="2"/>
        <v>0</v>
      </c>
      <c r="K50" s="316">
        <f t="shared" si="2"/>
        <v>0</v>
      </c>
      <c r="L50" s="316">
        <f t="shared" si="2"/>
        <v>0</v>
      </c>
      <c r="M50" s="316">
        <f t="shared" si="2"/>
        <v>2.33013160464314E-4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2.6432017459993118E-5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5.2719179948453269E-3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2.33013160464314E-4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7.34222707222031</v>
      </c>
      <c r="C54" s="22">
        <f t="shared" ref="C54:P54" si="3">(C50)*10^9/3600</f>
        <v>0</v>
      </c>
      <c r="D54" s="22">
        <f t="shared" si="3"/>
        <v>0</v>
      </c>
      <c r="E54" s="22">
        <f t="shared" si="3"/>
        <v>0</v>
      </c>
      <c r="F54" s="22">
        <f t="shared" si="3"/>
        <v>0</v>
      </c>
      <c r="G54" s="22">
        <f t="shared" si="3"/>
        <v>1464.421665234813</v>
      </c>
      <c r="H54" s="22">
        <f t="shared" si="3"/>
        <v>0</v>
      </c>
      <c r="I54" s="22">
        <f t="shared" si="3"/>
        <v>0</v>
      </c>
      <c r="J54" s="22">
        <f t="shared" si="3"/>
        <v>0</v>
      </c>
      <c r="K54" s="22">
        <f t="shared" si="3"/>
        <v>0</v>
      </c>
      <c r="L54" s="22">
        <f t="shared" si="3"/>
        <v>0</v>
      </c>
      <c r="M54" s="22">
        <f t="shared" si="3"/>
        <v>64.72587790675388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8.3468952048295214E-2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0.61284799941885204</v>
      </c>
      <c r="C58" s="24">
        <f t="shared" ref="C58:P58" ca="1" si="4">C54*C56</f>
        <v>0</v>
      </c>
      <c r="D58" s="24">
        <f t="shared" si="4"/>
        <v>0</v>
      </c>
      <c r="E58" s="24">
        <f t="shared" si="4"/>
        <v>0</v>
      </c>
      <c r="F58" s="24">
        <f t="shared" si="4"/>
        <v>0</v>
      </c>
      <c r="G58" s="24">
        <f t="shared" si="4"/>
        <v>391.0005846176951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22845.452955909452</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4109.0717997886622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43.649999999999991</v>
      </c>
      <c r="C8" s="546">
        <f>B48</f>
        <v>0</v>
      </c>
      <c r="D8" s="969"/>
      <c r="E8" s="969">
        <f>E48</f>
        <v>0</v>
      </c>
      <c r="F8" s="970"/>
      <c r="G8" s="547"/>
      <c r="H8" s="969">
        <f>I48</f>
        <v>0</v>
      </c>
      <c r="I8" s="969">
        <f>G48+F48</f>
        <v>0</v>
      </c>
      <c r="J8" s="969">
        <f>H48+D48+C48</f>
        <v>51.35294117647058</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405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27403.174755698114</v>
      </c>
      <c r="C10" s="558">
        <f t="shared" ref="C10:L10" si="0">SUM(C8:C9)</f>
        <v>0</v>
      </c>
      <c r="D10" s="558">
        <f t="shared" si="0"/>
        <v>0</v>
      </c>
      <c r="E10" s="558">
        <f t="shared" si="0"/>
        <v>0</v>
      </c>
      <c r="F10" s="558">
        <f t="shared" si="0"/>
        <v>0</v>
      </c>
      <c r="G10" s="558">
        <f t="shared" si="0"/>
        <v>0</v>
      </c>
      <c r="H10" s="558">
        <f t="shared" si="0"/>
        <v>0</v>
      </c>
      <c r="I10" s="558">
        <f t="shared" si="0"/>
        <v>1012.5</v>
      </c>
      <c r="J10" s="558">
        <f t="shared" si="0"/>
        <v>51.35294117647058</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62.357142857142847</v>
      </c>
      <c r="C17" s="570">
        <f>B49</f>
        <v>0</v>
      </c>
      <c r="D17" s="571"/>
      <c r="E17" s="571">
        <f>E49</f>
        <v>0</v>
      </c>
      <c r="F17" s="572"/>
      <c r="G17" s="573"/>
      <c r="H17" s="570">
        <f>I49</f>
        <v>0</v>
      </c>
      <c r="I17" s="571">
        <f>G49+F49</f>
        <v>0</v>
      </c>
      <c r="J17" s="571">
        <f>H49+D49+C49</f>
        <v>73.361344537815114</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35005</v>
      </c>
      <c r="C28" s="777">
        <v>8470</v>
      </c>
      <c r="D28" s="630" t="s">
        <v>965</v>
      </c>
      <c r="E28" s="629" t="s">
        <v>966</v>
      </c>
      <c r="F28" s="629" t="s">
        <v>967</v>
      </c>
      <c r="G28" s="629" t="s">
        <v>968</v>
      </c>
      <c r="H28" s="629" t="s">
        <v>969</v>
      </c>
      <c r="I28" s="629" t="s">
        <v>966</v>
      </c>
      <c r="J28" s="776">
        <v>41117</v>
      </c>
      <c r="K28" s="776">
        <v>41275</v>
      </c>
      <c r="L28" s="629" t="s">
        <v>970</v>
      </c>
      <c r="M28" s="629">
        <v>9.6999999999999993</v>
      </c>
      <c r="N28" s="629">
        <v>43.649999999999991</v>
      </c>
      <c r="O28" s="629">
        <v>62.357142857142847</v>
      </c>
      <c r="P28" s="629">
        <v>0</v>
      </c>
      <c r="Q28" s="629">
        <v>124.71428571428569</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9.6999999999999993</v>
      </c>
      <c r="N29" s="587">
        <f>SUM(N28:N28)</f>
        <v>43.649999999999991</v>
      </c>
      <c r="O29" s="587">
        <f>SUM(O28:O28)</f>
        <v>62.357142857142847</v>
      </c>
      <c r="P29" s="587">
        <f>SUM(P28:P28)</f>
        <v>0</v>
      </c>
      <c r="Q29" s="587">
        <f>SUM(Q28:Q28)</f>
        <v>124.71428571428569</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9.6999999999999993</v>
      </c>
      <c r="N32" s="592">
        <f>SUMIF($Z$28:$Z$28,"landbouw",N28:N28)</f>
        <v>43.649999999999991</v>
      </c>
      <c r="O32" s="592">
        <f>SUMIF($Z$28:$Z$28,"landbouw",O28:O28)</f>
        <v>62.357142857142847</v>
      </c>
      <c r="P32" s="592">
        <f>SUMIF($Z$28:$Z$28,"landbouw",P28:P28)</f>
        <v>0</v>
      </c>
      <c r="Q32" s="592">
        <f>SUMIF($Z$28:$Z$28,"landbouw",Q28:Q28)</f>
        <v>124.71428571428569</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38.25">
      <c r="A35" s="584"/>
      <c r="B35" s="777">
        <v>35005</v>
      </c>
      <c r="C35" s="777">
        <v>8470</v>
      </c>
      <c r="D35" s="632" t="s">
        <v>971</v>
      </c>
      <c r="E35" s="632" t="s">
        <v>972</v>
      </c>
      <c r="F35" s="632" t="s">
        <v>973</v>
      </c>
      <c r="G35" s="632" t="s">
        <v>974</v>
      </c>
      <c r="H35" s="632" t="s">
        <v>975</v>
      </c>
      <c r="I35" s="632" t="s">
        <v>972</v>
      </c>
      <c r="J35" s="776">
        <v>38944</v>
      </c>
      <c r="K35" s="776">
        <v>39239</v>
      </c>
      <c r="L35" s="632" t="s">
        <v>970</v>
      </c>
      <c r="M35" s="632">
        <v>90</v>
      </c>
      <c r="N35" s="632">
        <v>405</v>
      </c>
      <c r="O35" s="632">
        <v>0</v>
      </c>
      <c r="P35" s="632">
        <v>0</v>
      </c>
      <c r="Q35" s="632">
        <v>0</v>
      </c>
      <c r="R35" s="632">
        <v>0</v>
      </c>
      <c r="S35" s="632">
        <v>0</v>
      </c>
      <c r="T35" s="632">
        <v>0</v>
      </c>
      <c r="U35" s="632">
        <v>1012.5</v>
      </c>
      <c r="V35" s="632">
        <v>0</v>
      </c>
      <c r="W35" s="632"/>
      <c r="X35" s="632">
        <v>10</v>
      </c>
      <c r="Y35" s="632" t="s">
        <v>111</v>
      </c>
      <c r="Z35" s="633" t="s">
        <v>111</v>
      </c>
    </row>
    <row r="36" spans="1:27" s="565" customFormat="1">
      <c r="A36" s="585" t="s">
        <v>275</v>
      </c>
      <c r="B36" s="586"/>
      <c r="C36" s="586"/>
      <c r="D36" s="586"/>
      <c r="E36" s="586"/>
      <c r="F36" s="586"/>
      <c r="G36" s="586"/>
      <c r="H36" s="586"/>
      <c r="I36" s="586"/>
      <c r="J36" s="586"/>
      <c r="K36" s="586"/>
      <c r="L36" s="587"/>
      <c r="M36" s="587">
        <f>SUM(M35:M35)</f>
        <v>90</v>
      </c>
      <c r="N36" s="587">
        <f>SUM(N35:N35)</f>
        <v>405</v>
      </c>
      <c r="O36" s="587">
        <f>SUM(O35:O35)</f>
        <v>0</v>
      </c>
      <c r="P36" s="587">
        <f>SUM(P35:P35)</f>
        <v>0</v>
      </c>
      <c r="Q36" s="587">
        <f>SUM(Q35:Q35)</f>
        <v>0</v>
      </c>
      <c r="R36" s="587">
        <f>SUM(R35:R35)</f>
        <v>0</v>
      </c>
      <c r="S36" s="587">
        <f>SUM(S35:S35)</f>
        <v>0</v>
      </c>
      <c r="T36" s="587">
        <f>SUM(T35:T35)</f>
        <v>0</v>
      </c>
      <c r="U36" s="587">
        <f>SUM(U35:U35)</f>
        <v>1012.5</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90</v>
      </c>
      <c r="N39" s="592">
        <f>SUMIF($Z$35:$Z$37,"landbouw",N35:N37)</f>
        <v>405</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1012.5</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51.35294117647058</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73.361344537815114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2021-06-29T16:43:57Z</dcterms:modified>
</cp:coreProperties>
</file>