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E48" i="18"/>
  <c r="E8" i="18" s="1"/>
  <c r="E10" i="18" s="1"/>
  <c r="C48" i="18"/>
  <c r="H48" i="18"/>
  <c r="N6" i="17"/>
  <c r="L6" i="17"/>
  <c r="F6" i="17"/>
  <c r="D6" i="17"/>
  <c r="C6" i="17"/>
  <c r="N16" i="16"/>
  <c r="L16" i="16"/>
  <c r="F16" i="16"/>
  <c r="D16" i="16"/>
  <c r="C16" i="16"/>
  <c r="B16" i="16"/>
  <c r="B13" i="15"/>
  <c r="I48" i="18" l="1"/>
  <c r="H8" i="18" s="1"/>
  <c r="H10" i="18" s="1"/>
  <c r="F48" i="18"/>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I87" i="14"/>
  <c r="I17" i="56" s="1"/>
  <c r="J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<sst xmlns="http://schemas.openxmlformats.org/spreadsheetml/2006/main" count="2565" uniqueCount="965">
  <si>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</si>
  <si>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</si>
  <si>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</si>
  <si>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</si>
  <si>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</si>
  <si>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</si>
  <si>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</si>
  <si>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</si>
  <si>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</si>
  <si>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</si>
  <si>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</si>
  <si>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</si>
  <si>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</si>
  <si>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</si>
  <si>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</si>
  <si>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</si>
  <si>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</si>
  <si>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</si>
  <si>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</si>
  <si>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</si>
  <si>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</si>
  <si>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</si>
  <si>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</si>
  <si>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</si>
  <si>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</si>
  <si>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</si>
  <si>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</si>
  <si>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</si>
  <si>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</si>
  <si>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</si>
  <si>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</si>
  <si>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</si>
  <si>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</si>
  <si>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</si>
  <si>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</si>
  <si>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</si>
  <si>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</si>
  <si>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</si>
  <si>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</si>
  <si>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</si>
  <si>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</si>
  <si>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</si>
  <si>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</si>
  <si>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</si>
  <si>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</si>
  <si>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</si>
  <si>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</si>
  <si>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</si>
  <si>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</si>
  <si>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</si>
  <si>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</si>
  <si>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</si>
  <si>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</si>
  <si>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</si>
  <si>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</si>
  <si>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</si>
  <si>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</si>
  <si>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</si>
  <si>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</si>
  <si>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</si>
  <si>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</si>
  <si>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</si>
  <si>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</si>
  <si>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</si>
  <si>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</si>
  <si>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</si>
  <si>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</si>
  <si>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</si>
  <si>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</si>
  <si>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</si>
  <si>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</si>
  <si>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</si>
  <si>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</si>
  <si>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</si>
  <si>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</si>
  <si>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</si>
  <si>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</si>
  <si>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</si>
  <si>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</si>
  <si>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</si>
  <si>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</si>
  <si>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</si>
  <si>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</si>
  <si>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</si>
  <si>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</si>
  <si>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</si>
  <si>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</si>
  <si>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</si>
  <si>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</si>
  <si>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</si>
  <si>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</si>
  <si>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</si>
  <si>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</si>
  <si>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</si>
  <si>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</si>
  <si>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</si>
  <si>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</si>
  <si>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</si>
  <si>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</si>
  <si>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</si>
  <si>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</si>
  <si>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</si>
  <si>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</si>
  <si>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</si>
  <si>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</si>
  <si>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</si>
  <si>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</si>
  <si>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</si>
  <si>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</si>
  <si>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</si>
  <si>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</si>
  <si>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</si>
  <si>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</si>
  <si>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</si>
  <si>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</si>
  <si>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</si>
  <si>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</si>
  <si>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</si>
  <si>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</si>
  <si>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</si>
  <si>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</si>
  <si>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</si>
  <si>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</si>
  <si>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</si>
  <si>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</si>
  <si>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</si>
  <si>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</si>
  <si>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</si>
  <si>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</si>
  <si>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</si>
  <si>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</si>
  <si>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</si>
  <si>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</si>
  <si>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</si>
  <si>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</si>
  <si>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</si>
  <si>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</si>
  <si>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</si>
  <si>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</si>
  <si>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</si>
  <si>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</si>
  <si>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</si>
  <si>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</si>
  <si>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</si>
  <si>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</si>
  <si>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</si>
  <si>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</si>
  <si>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</si>
  <si>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</si>
  <si>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</si>
  <si>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</si>
  <si>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</si>
  <si>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</si>
  <si>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</si>
  <si>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</si>
  <si>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</si>
  <si>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</si>
  <si>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</si>
  <si>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</si>
  <si>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</si>
  <si>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</si>
  <si>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</si>
  <si>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</si>
  <si>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</si>
  <si>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</si>
  <si>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</si>
  <si>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</si>
  <si>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</si>
  <si>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</si>
  <si>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</si>
  <si>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</si>
  <si>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</si>
  <si>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</si>
  <si>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</si>
  <si>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</si>
  <si>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</si>
  <si>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</si>
  <si>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</si>
  <si>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</si>
  <si>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</si>
  <si>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</si>
  <si>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</si>
  <si>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</si>
  <si>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</si>
  <si>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</si>
  <si>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</si>
  <si>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</si>
  <si>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</si>
  <si>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</si>
  <si>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</si>
  <si>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</si>
  <si>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</si>
  <si>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</si>
  <si>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</si>
  <si>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</si>
  <si>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</si>
  <si>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</si>
  <si>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</si>
  <si>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</si>
  <si>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</si>
  <si>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</si>
  <si>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</si>
  <si>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</si>
  <si>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</si>
  <si>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</si>
  <si>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</si>
  <si>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</si>
  <si>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</si>
  <si>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</si>
  <si>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</si>
  <si>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</si>
  <si>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</si>
  <si>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</si>
  <si>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</si>
  <si>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</si>
  <si>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</si>
  <si>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</si>
  <si>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</si>
  <si>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</si>
  <si>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</si>
  <si>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</si>
  <si>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</si>
  <si>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</si>
  <si>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</si>
  <si>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</si>
  <si>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</si>
  <si>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</si>
  <si>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</si>
  <si>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</si>
  <si>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</si>
  <si>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</si>
  <si>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</si>
  <si>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</si>
  <si>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</si>
  <si>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</si>
  <si>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</si>
  <si>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</si>
  <si>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</si>
  <si>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</si>
  <si>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</si>
  <si>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</si>
  <si>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</si>
  <si>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</si>
  <si>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</si>
  <si>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</si>
  <si>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</si>
  <si>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</si>
  <si>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</si>
  <si>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</si>
  <si>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</si>
  <si>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</si>
  <si>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</si>
  <si>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</si>
  <si>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</si>
  <si>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</si>
  <si>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</si>
  <si>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</si>
  <si>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</si>
  <si>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</si>
  <si>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</si>
  <si>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</si>
  <si>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</si>
  <si>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</si>
  <si>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</si>
  <si>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</si>
  <si>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</si>
  <si>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</si>
  <si>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</si>
  <si>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</si>
  <si>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</si>
  <si>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</si>
  <si>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</si>
  <si>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</si>
  <si>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</si>
  <si>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</si>
  <si>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</si>
  <si>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</si>
  <si>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</si>
  <si>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</si>
  <si>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</si>
  <si>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</si>
  <si>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</si>
  <si>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</si>
  <si>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</si>
  <si>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</si>
  <si>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</si>
  <si>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</si>
  <si>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</si>
  <si>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</si>
  <si>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</si>
  <si>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</si>
  <si>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</si>
  <si>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</si>
  <si>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</si>
  <si>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</si>
  <si>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</si>
  <si>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</si>
  <si>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</si>
  <si>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</si>
  <si>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</si>
  <si>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</si>
  <si>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</si>
  <si>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</si>
  <si>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</si>
  <si>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</si>
  <si>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</si>
  <si>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</si>
  <si>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</si>
  <si>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</si>
  <si>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</si>
  <si>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</si>
  <si>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</si>
  <si>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</si>
  <si>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</si>
  <si>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</si>
  <si>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</si>
  <si>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</si>
  <si>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</si>
  <si>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</si>
  <si>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</si>
  <si>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</si>
  <si>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</si>
  <si>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</si>
  <si>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</si>
  <si>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</si>
  <si>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</si>
  <si>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</si>
  <si>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</si>
  <si>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</si>
  <si>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</si>
  <si>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</si>
  <si>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</si>
  <si>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</si>
  <si>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</si>
  <si>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</si>
  <si>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</si>
  <si>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</si>
  <si>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</si>
  <si>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</si>
  <si>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</si>
  <si>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</si>
  <si>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</si>
  <si>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</si>
  <si>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</si>
  <si>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</si>
  <si>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</si>
  <si>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</si>
  <si>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</si>
  <si>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</si>
  <si>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</si>
  <si>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</si>
  <si>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</si>
  <si>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</si>
  <si>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</si>
  <si>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</si>
  <si>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</si>
  <si>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</si>
  <si>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</si>
  <si>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</si>
  <si>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</si>
  <si>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</si>
  <si>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</si>
  <si>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</si>
  <si>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</si>
  <si>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</si>
  <si>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</si>
  <si>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</si>
  <si>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</si>
  <si>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</si>
  <si>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</si>
  <si>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</si>
  <si>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</si>
  <si>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</si>
  <si>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</si>
  <si>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</si>
  <si>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</si>
  <si>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</si>
  <si>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</si>
  <si>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</si>
  <si>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</si>
  <si>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</si>
  <si>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</si>
  <si>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</si>
  <si>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</si>
  <si>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</si>
  <si>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</si>
  <si>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</si>
  <si>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</si>
  <si>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</si>
  <si>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</si>
  <si>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</si>
  <si>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</si>
  <si>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</si>
  <si>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</si>
  <si>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</si>
  <si>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</si>
  <si>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</si>
  <si>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</si>
  <si>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</si>
  <si>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</si>
  <si>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</si>
  <si>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</si>
  <si>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</si>
  <si>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</si>
  <si>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</si>
  <si>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</si>
  <si>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</si>
  <si>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</si>
  <si>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</si>
  <si>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</si>
  <si>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</si>
  <si>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</si>
  <si>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</si>
  <si>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</si>
  <si>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</si>
  <si>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</si>
  <si>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</si>
  <si>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</si>
  <si>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</si>
  <si>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</si>
  <si>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</si>
  <si>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</si>
  <si>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</si>
  <si>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</si>
  <si>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</si>
  <si>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</si>
  <si>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</si>
  <si>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</si>
  <si>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</si>
  <si>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</si>
  <si>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</si>
  <si>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</si>
  <si>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</si>
  <si>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</si>
  <si>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</si>
  <si>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</si>
  <si>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</si>
  <si>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</si>
  <si>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</si>
  <si>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</si>
  <si>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</si>
  <si>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</si>
  <si>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</si>
  <si>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</si>
  <si>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</si>
  <si>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</si>
  <si>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</si>
  <si>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</si>
  <si>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</si>
  <si>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</si>
  <si>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</si>
  <si>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</si>
  <si>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</si>
  <si>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</si>
  <si>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</si>
  <si>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</si>
  <si>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</si>
  <si>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</si>
  <si>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</si>
  <si>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</si>
  <si>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</si>
  <si>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</si>
  <si>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</si>
  <si>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</si>
  <si>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</si>
  <si>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</si>
  <si>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</si>
  <si>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</si>
  <si>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</si>
  <si>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</si>
  <si>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</si>
  <si>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</si>
  <si>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</si>
  <si>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</si>
  <si>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</si>
  <si>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</si>
  <si>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</si>
  <si>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</si>
  <si>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</si>
  <si>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</si>
  <si>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</si>
  <si>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</si>
  <si>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</si>
  <si>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</si>
  <si>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</si>
  <si>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</si>
  <si>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</si>
  <si>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</si>
  <si>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</si>
  <si>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</si>
  <si>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</si>
  <si>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</si>
  <si>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</si>
  <si>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</si>
  <si>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</si>
  <si>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</si>
  <si>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</si>
  <si>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</si>
  <si>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</si>
  <si>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</si>
  <si>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</si>
  <si>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</si>
  <si>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</si>
  <si>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</si>
  <si>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</si>
  <si>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</si>
  <si>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</si>
  <si>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</si>
  <si>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</si>
  <si>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</si>
  <si>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</si>
  <si>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</si>
  <si>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</si>
  <si>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</si>
  <si>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</si>
  <si>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</si>
  <si>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</si>
  <si>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</si>
  <si>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</si>
  <si>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</si>
  <si>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</si>
  <si>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</si>
  <si>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</si>
  <si>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</si>
  <si>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</si>
  <si>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</si>
  <si>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</si>
  <si>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</si>
  <si>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</si>
  <si>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</si>
  <si>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</si>
  <si>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</si>
  <si>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</si>
  <si>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</si>
  <si>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</si>
  <si>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</si>
  <si>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</si>
  <si>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</si>
  <si>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</si>
  <si>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</si>
  <si>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</si>
  <si>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</si>
  <si>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</si>
  <si>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</si>
  <si>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</si>
  <si>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</si>
  <si>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</si>
  <si>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</si>
  <si>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</si>
  <si>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</si>
  <si>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</si>
  <si>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</si>
  <si>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</si>
  <si>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</si>
  <si>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</si>
  <si>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</si>
  <si>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</si>
  <si>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</si>
  <si>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</si>
  <si>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</si>
  <si>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</si>
  <si>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</si>
  <si>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</si>
  <si>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</si>
  <si>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</si>
  <si>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</si>
  <si>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</si>
  <si>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</si>
  <si>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</si>
  <si>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</si>
  <si>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</si>
  <si>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</si>
  <si>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</si>
  <si>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</si>
  <si>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</si>
  <si>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</si>
  <si>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</si>
  <si>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</si>
  <si>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</si>
  <si>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</si>
  <si>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</si>
  <si>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</si>
  <si>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</si>
  <si>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</si>
  <si>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</si>
  <si>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</si>
  <si>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</si>
  <si>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</si>
  <si>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</si>
  <si>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</si>
  <si>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</si>
  <si>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</si>
  <si>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</si>
  <si>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</si>
  <si>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</si>
  <si>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</si>
  <si>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</si>
  <si>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</si>
  <si>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</si>
  <si>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</si>
  <si>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</si>
  <si>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</si>
  <si>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</si>
  <si>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</si>
  <si>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</si>
  <si>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</si>
  <si>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</si>
  <si>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</si>
  <si>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</si>
  <si>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</si>
  <si>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</si>
  <si>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</si>
  <si>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</si>
  <si>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</si>
  <si>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</si>
  <si>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</si>
  <si>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</si>
  <si>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</si>
  <si>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</si>
  <si>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</si>
  <si>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</si>
  <si>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</si>
  <si>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</si>
  <si>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</si>
  <si>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</si>
  <si>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</si>
  <si>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</si>
  <si>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</si>
  <si>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</si>
  <si>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</si>
  <si>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</si>
  <si>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</si>
  <si>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</si>
  <si>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</si>
  <si>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</si>
  <si>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</si>
  <si>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</si>
  <si>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</si>
  <si>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</si>
  <si>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</si>
  <si>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</si>
  <si>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</si>
  <si>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</si>
  <si>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</si>
  <si>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</si>
  <si>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</si>
  <si>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</si>
  <si>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</si>
  <si>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</si>
  <si>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</si>
  <si>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</si>
  <si>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</si>
  <si>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</si>
  <si>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</si>
  <si>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</si>
  <si>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</si>
  <si>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</si>
  <si>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</si>
  <si>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</si>
  <si>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</si>
  <si>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</si>
  <si>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</si>
  <si>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</si>
  <si>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</si>
  <si>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</si>
  <si>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</si>
  <si>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</si>
  <si>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</si>
  <si>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</si>
  <si>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</si>
  <si>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</si>
  <si>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</si>
  <si>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</si>
  <si>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</si>
  <si>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</si>
  <si>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</si>
  <si>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</si>
  <si>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</si>
  <si>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</si>
  <si>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</si>
  <si>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</si>
  <si>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</si>
  <si>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</si>
  <si>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</si>
  <si>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</si>
  <si>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</si>
  <si>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</si>
  <si>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</si>
  <si>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</si>
  <si>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</si>
  <si>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</si>
  <si>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</si>
  <si>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</si>
  <si>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</si>
  <si>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</si>
  <si>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</si>
  <si>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</si>
  <si>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</si>
  <si>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</si>
  <si>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</si>
  <si>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</si>
  <si>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</si>
  <si>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</si>
  <si>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</si>
  <si>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</si>
  <si>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</si>
  <si>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</si>
  <si>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</si>
  <si>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</si>
  <si>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</si>
  <si>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</si>
  <si>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</si>
  <si>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</si>
  <si>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</si>
  <si>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</si>
  <si>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</si>
  <si>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</si>
  <si>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</si>
  <si>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</si>
  <si>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</si>
  <si>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</si>
  <si>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</si>
  <si>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</si>
  <si>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</si>
  <si>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</si>
  <si>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</si>
  <si>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</si>
  <si>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</si>
  <si>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</si>
  <si>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</si>
  <si>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</si>
  <si>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</si>
  <si>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</si>
  <si>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</si>
  <si>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</si>
  <si>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</si>
  <si>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</si>
  <si>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</si>
  <si>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</si>
  <si>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</si>
  <si>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</si>
  <si>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</si>
  <si>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</si>
  <si>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</si>
  <si>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</si>
  <si>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</si>
  <si>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</si>
  <si>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</si>
  <si>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</si>
  <si>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</si>
  <si>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</si>
  <si>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</si>
  <si>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</si>
  <si>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</si>
  <si>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</si>
  <si>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</si>
  <si>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</si>
  <si>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</si>
  <si>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</si>
  <si>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</si>
  <si>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</si>
  <si>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</si>
  <si>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</si>
  <si>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</si>
  <si>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</si>
  <si>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</si>
  <si>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</si>
  <si>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</si>
  <si>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</si>
  <si>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</si>
  <si>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</si>
  <si>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</si>
  <si>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</si>
  <si>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</si>
  <si>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</si>
  <si>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</si>
  <si>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</si>
  <si>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</si>
  <si>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</si>
  <si>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</si>
  <si>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</si>
  <si>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</si>
  <si>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</si>
  <si>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</si>
  <si>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</si>
  <si>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</si>
  <si>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</si>
  <si>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</si>
  <si>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</si>
  <si>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</si>
  <si>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</si>
  <si>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</si>
  <si>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</si>
  <si>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</si>
  <si>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</si>
  <si>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</si>
  <si>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</si>
  <si>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</si>
  <si>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</si>
  <si>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</si>
  <si>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</si>
  <si>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</si>
  <si>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</si>
  <si>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</si>
  <si>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</si>
  <si>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</si>
  <si>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</si>
  <si>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</si>
  <si>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</si>
  <si>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</si>
  <si>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</si>
  <si>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</si>
  <si>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</si>
  <si>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</si>
  <si>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</si>
  <si>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</si>
  <si>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</si>
  <si>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</si>
  <si>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</si>
  <si>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</si>
  <si>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</si>
  <si>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</si>
  <si>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</si>
  <si>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</si>
  <si>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</si>
  <si>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</si>
  <si>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</si>
  <si>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</si>
  <si>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</si>
  <si>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</si>
  <si>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</si>
  <si>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</si>
  <si>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</si>
  <si>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</si>
  <si>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</si>
  <si>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</si>
  <si>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</si>
  <si>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</si>
  <si>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</si>
  <si>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</si>
  <si>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</si>
  <si>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</si>
  <si>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</si>
  <si>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</si>
  <si>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</si>
  <si>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</si>
  <si>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</si>
  <si>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</si>
  <si>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</si>
  <si>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</si>
  <si>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</si>
  <si>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</si>
  <si>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</si>
  <si>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</si>
  <si>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</si>
  <si>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</si>
  <si>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</si>
  <si>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</si>
  <si>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</si>
  <si>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</si>
  <si>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</si>
  <si>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</si>
  <si>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</si>
  <si>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</si>
  <si>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</si>
  <si>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</si>
  <si>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</si>
  <si>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</si>
  <si>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</si>
  <si>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</si>
  <si>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</si>
  <si>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</si>
  <si>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</si>
  <si>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</si>
  <si>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</si>
  <si>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</si>
  <si>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</si>
  <si>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</si>
  <si>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</si>
  <si>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</si>
  <si>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</si>
  <si>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</si>
  <si>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</si>
  <si>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</si>
  <si>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</si>
  <si>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</si>
  <si>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</si>
  <si>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</si>
  <si>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</si>
  <si>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</si>
  <si>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</si>
  <si>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</si>
  <si>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</si>
  <si>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</si>
  <si>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</si>
  <si>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</si>
  <si>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</si>
  <si>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</si>
  <si>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</si>
  <si>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</si>
  <si>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</si>
  <si>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</si>
  <si>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</si>
  <si>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</si>
  <si>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</si>
  <si>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</si>
  <si>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</si>
  <si>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</si>
  <si>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</si>
  <si>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</si>
  <si>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</si>
  <si>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</si>
  <si>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</si>
  <si>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</si>
  <si>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</si>
  <si>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</si>
  <si>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</si>
  <si>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</si>
  <si>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</si>
  <si>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</si>
  <si>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</si>
  <si>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</si>
  <si>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</si>
  <si>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</si>
  <si>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</si>
  <si>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</si>
  <si>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</si>
  <si>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</si>
  <si>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</si>
  <si>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</si>
  <si>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</si>
  <si>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</si>
  <si>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</si>
  <si>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</si>
  <si>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</si>
  <si>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</si>
  <si>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</si>
  <si>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</si>
  <si>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</si>
  <si>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</si>
  <si>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</si>
  <si>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</si>
  <si>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</si>
  <si>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</si>
  <si>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</si>
  <si>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</si>
  <si>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</si>
  <si>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</si>
  <si>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</si>
  <si>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</si>
  <si>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</si>
  <si>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</si>
  <si>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</si>
  <si>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</si>
  <si>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</si>
  <si>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</si>
  <si>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</si>
  <si>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</si>
  <si>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</si>
  <si>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34041</t>
  </si>
  <si>
    <t>WEVELGEM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</si>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</sst>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34041</v>
      </c>
      <c r="B6" s="386"/>
      <c r="C6" s="387"/>
    </row>
    <row r="7" spans="1:7" s="384" customFormat="1" ht="15.75" customHeight="1">
      <c r="A7" s="388" t="str">
        <f>txtMunicipality</f>
        <v>WEVELGEM</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49273.285000000003</v>
      </c>
      <c r="D10" s="676">
        <f ca="1">tertiair!C16</f>
        <v>0</v>
      </c>
      <c r="E10" s="676">
        <f ca="1">tertiair!D16</f>
        <v>48656.206017504854</v>
      </c>
      <c r="F10" s="676">
        <f>tertiair!E16</f>
        <v>388.34858904955655</v>
      </c>
      <c r="G10" s="676">
        <f ca="1">tertiair!F16</f>
        <v>9305.2261004078246</v>
      </c>
      <c r="H10" s="676">
        <f>tertiair!G16</f>
        <v>0</v>
      </c>
      <c r="I10" s="676">
        <f>tertiair!H16</f>
        <v>0</v>
      </c>
      <c r="J10" s="676">
        <f>tertiair!I16</f>
        <v>0</v>
      </c>
      <c r="K10" s="676">
        <f>tertiair!J16</f>
        <v>0</v>
      </c>
      <c r="L10" s="676">
        <f>tertiair!K16</f>
        <v>0</v>
      </c>
      <c r="M10" s="676">
        <f ca="1">tertiair!L16</f>
        <v>0</v>
      </c>
      <c r="N10" s="676">
        <f>tertiair!M16</f>
        <v>0</v>
      </c>
      <c r="O10" s="676">
        <f ca="1">tertiair!N16</f>
        <v>3736.3105625097364</v>
      </c>
      <c r="P10" s="676">
        <f>tertiair!O16</f>
        <v>4.6900000000000004</v>
      </c>
      <c r="Q10" s="677">
        <f>tertiair!P16</f>
        <v>95.333333333333343</v>
      </c>
      <c r="R10" s="679">
        <f ca="1">SUM(C10:Q10)</f>
        <v>111459.39960280529</v>
      </c>
      <c r="S10" s="68"/>
    </row>
    <row r="11" spans="1:19" s="445" customFormat="1">
      <c r="A11" s="791" t="s">
        <v>220</v>
      </c>
      <c r="B11" s="796"/>
      <c r="C11" s="676">
        <f>huishoudens!B8</f>
        <v>54097.212316074481</v>
      </c>
      <c r="D11" s="676">
        <f>huishoudens!C8</f>
        <v>0</v>
      </c>
      <c r="E11" s="676">
        <f>huishoudens!D8</f>
        <v>149149.90313697429</v>
      </c>
      <c r="F11" s="676">
        <f>huishoudens!E8</f>
        <v>1861.0200158543437</v>
      </c>
      <c r="G11" s="676">
        <f>huishoudens!F8</f>
        <v>56737.097191688474</v>
      </c>
      <c r="H11" s="676">
        <f>huishoudens!G8</f>
        <v>0</v>
      </c>
      <c r="I11" s="676">
        <f>huishoudens!H8</f>
        <v>0</v>
      </c>
      <c r="J11" s="676">
        <f>huishoudens!I8</f>
        <v>0</v>
      </c>
      <c r="K11" s="676">
        <f>huishoudens!J8</f>
        <v>1029.47485873804</v>
      </c>
      <c r="L11" s="676">
        <f>huishoudens!K8</f>
        <v>0</v>
      </c>
      <c r="M11" s="676">
        <f>huishoudens!L8</f>
        <v>0</v>
      </c>
      <c r="N11" s="676">
        <f>huishoudens!M8</f>
        <v>0</v>
      </c>
      <c r="O11" s="676">
        <f>huishoudens!N8</f>
        <v>17609.834878547015</v>
      </c>
      <c r="P11" s="676">
        <f>huishoudens!O8</f>
        <v>115.68666666666667</v>
      </c>
      <c r="Q11" s="677">
        <f>huishoudens!P8</f>
        <v>286</v>
      </c>
      <c r="R11" s="679">
        <f>SUM(C11:Q11)</f>
        <v>280886.22906454327</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85384.163000000015</v>
      </c>
      <c r="D13" s="676">
        <f>industrie!C18</f>
        <v>0</v>
      </c>
      <c r="E13" s="676">
        <f>industrie!D18</f>
        <v>126512.21281653017</v>
      </c>
      <c r="F13" s="676">
        <f>industrie!E18</f>
        <v>655.96760234975943</v>
      </c>
      <c r="G13" s="676">
        <f>industrie!F18</f>
        <v>25020.491668900293</v>
      </c>
      <c r="H13" s="676">
        <f>industrie!G18</f>
        <v>0</v>
      </c>
      <c r="I13" s="676">
        <f>industrie!H18</f>
        <v>0</v>
      </c>
      <c r="J13" s="676">
        <f>industrie!I18</f>
        <v>0</v>
      </c>
      <c r="K13" s="676">
        <f>industrie!J18</f>
        <v>262.37237956844854</v>
      </c>
      <c r="L13" s="676">
        <f>industrie!K18</f>
        <v>0</v>
      </c>
      <c r="M13" s="676">
        <f>industrie!L18</f>
        <v>0</v>
      </c>
      <c r="N13" s="676">
        <f>industrie!M18</f>
        <v>0</v>
      </c>
      <c r="O13" s="676">
        <f>industrie!N18</f>
        <v>3038.6663732289753</v>
      </c>
      <c r="P13" s="676">
        <f>industrie!O18</f>
        <v>0</v>
      </c>
      <c r="Q13" s="677">
        <f>industrie!P18</f>
        <v>0</v>
      </c>
      <c r="R13" s="679">
        <f>SUM(C13:Q13)</f>
        <v>240873.87384057767</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188754.6603160745</v>
      </c>
      <c r="D16" s="709">
        <f t="shared" ref="D16:R16" ca="1" si="0">SUM(D9:D15)</f>
        <v>0</v>
      </c>
      <c r="E16" s="709">
        <f t="shared" ca="1" si="0"/>
        <v>324318.32197100931</v>
      </c>
      <c r="F16" s="709">
        <f t="shared" si="0"/>
        <v>2905.3362072536597</v>
      </c>
      <c r="G16" s="709">
        <f t="shared" ca="1" si="0"/>
        <v>91062.814960996591</v>
      </c>
      <c r="H16" s="709">
        <f t="shared" si="0"/>
        <v>0</v>
      </c>
      <c r="I16" s="709">
        <f t="shared" si="0"/>
        <v>0</v>
      </c>
      <c r="J16" s="709">
        <f t="shared" si="0"/>
        <v>0</v>
      </c>
      <c r="K16" s="709">
        <f t="shared" si="0"/>
        <v>1291.8472383064886</v>
      </c>
      <c r="L16" s="709">
        <f t="shared" si="0"/>
        <v>0</v>
      </c>
      <c r="M16" s="709">
        <f t="shared" ca="1" si="0"/>
        <v>0</v>
      </c>
      <c r="N16" s="709">
        <f t="shared" si="0"/>
        <v>0</v>
      </c>
      <c r="O16" s="709">
        <f t="shared" ca="1" si="0"/>
        <v>24384.811814285727</v>
      </c>
      <c r="P16" s="709">
        <f t="shared" si="0"/>
        <v>120.37666666666667</v>
      </c>
      <c r="Q16" s="709">
        <f t="shared" si="0"/>
        <v>381.33333333333337</v>
      </c>
      <c r="R16" s="709">
        <f t="shared" ca="1" si="0"/>
        <v>633219.5025079262</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7.4208589533604341</v>
      </c>
      <c r="D19" s="676">
        <f>transport!C54</f>
        <v>0</v>
      </c>
      <c r="E19" s="676">
        <f>transport!D54</f>
        <v>0</v>
      </c>
      <c r="F19" s="676">
        <f>transport!E54</f>
        <v>0</v>
      </c>
      <c r="G19" s="676">
        <f>transport!F54</f>
        <v>0</v>
      </c>
      <c r="H19" s="676">
        <f>transport!G54</f>
        <v>1480.104948956103</v>
      </c>
      <c r="I19" s="676">
        <f>transport!H54</f>
        <v>0</v>
      </c>
      <c r="J19" s="676">
        <f>transport!I54</f>
        <v>0</v>
      </c>
      <c r="K19" s="676">
        <f>transport!J54</f>
        <v>0</v>
      </c>
      <c r="L19" s="676">
        <f>transport!K54</f>
        <v>0</v>
      </c>
      <c r="M19" s="676">
        <f>transport!L54</f>
        <v>0</v>
      </c>
      <c r="N19" s="676">
        <f>transport!M54</f>
        <v>65.419062343600089</v>
      </c>
      <c r="O19" s="676">
        <f>transport!N54</f>
        <v>0</v>
      </c>
      <c r="P19" s="676">
        <f>transport!O54</f>
        <v>0</v>
      </c>
      <c r="Q19" s="677">
        <f>transport!P54</f>
        <v>0</v>
      </c>
      <c r="R19" s="679">
        <f>SUM(C19:Q19)</f>
        <v>1552.9448702530635</v>
      </c>
      <c r="S19" s="68"/>
    </row>
    <row r="20" spans="1:19" s="445" customFormat="1">
      <c r="A20" s="791" t="s">
        <v>302</v>
      </c>
      <c r="B20" s="796"/>
      <c r="C20" s="676">
        <f>transport!B14</f>
        <v>9.1980542455004439</v>
      </c>
      <c r="D20" s="676">
        <f>transport!C14</f>
        <v>0</v>
      </c>
      <c r="E20" s="676">
        <f>transport!D14</f>
        <v>11.304361885977398</v>
      </c>
      <c r="F20" s="676">
        <f>transport!E14</f>
        <v>813.19888378257576</v>
      </c>
      <c r="G20" s="676">
        <f>transport!F14</f>
        <v>0</v>
      </c>
      <c r="H20" s="676">
        <f>transport!G14</f>
        <v>197244.8745018034</v>
      </c>
      <c r="I20" s="676">
        <f>transport!H14</f>
        <v>27959.347067732491</v>
      </c>
      <c r="J20" s="676">
        <f>transport!I14</f>
        <v>0</v>
      </c>
      <c r="K20" s="676">
        <f>transport!J14</f>
        <v>0</v>
      </c>
      <c r="L20" s="676">
        <f>transport!K14</f>
        <v>0</v>
      </c>
      <c r="M20" s="676">
        <f>transport!L14</f>
        <v>0</v>
      </c>
      <c r="N20" s="676">
        <f>transport!M14</f>
        <v>10057.225729047752</v>
      </c>
      <c r="O20" s="676">
        <f>transport!N14</f>
        <v>0</v>
      </c>
      <c r="P20" s="676">
        <f>transport!O14</f>
        <v>0</v>
      </c>
      <c r="Q20" s="677">
        <f>transport!P14</f>
        <v>0</v>
      </c>
      <c r="R20" s="679">
        <f>SUM(C20:Q20)</f>
        <v>236095.14859849768</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16.618913198860877</v>
      </c>
      <c r="D22" s="794">
        <f t="shared" ref="D22:R22" si="1">SUM(D18:D21)</f>
        <v>0</v>
      </c>
      <c r="E22" s="794">
        <f t="shared" si="1"/>
        <v>11.304361885977398</v>
      </c>
      <c r="F22" s="794">
        <f t="shared" si="1"/>
        <v>813.19888378257576</v>
      </c>
      <c r="G22" s="794">
        <f t="shared" si="1"/>
        <v>0</v>
      </c>
      <c r="H22" s="794">
        <f t="shared" si="1"/>
        <v>198724.97945075951</v>
      </c>
      <c r="I22" s="794">
        <f t="shared" si="1"/>
        <v>27959.347067732491</v>
      </c>
      <c r="J22" s="794">
        <f t="shared" si="1"/>
        <v>0</v>
      </c>
      <c r="K22" s="794">
        <f t="shared" si="1"/>
        <v>0</v>
      </c>
      <c r="L22" s="794">
        <f t="shared" si="1"/>
        <v>0</v>
      </c>
      <c r="M22" s="794">
        <f t="shared" si="1"/>
        <v>0</v>
      </c>
      <c r="N22" s="794">
        <f t="shared" si="1"/>
        <v>10122.644791391353</v>
      </c>
      <c r="O22" s="794">
        <f t="shared" si="1"/>
        <v>0</v>
      </c>
      <c r="P22" s="794">
        <f t="shared" si="1"/>
        <v>0</v>
      </c>
      <c r="Q22" s="794">
        <f t="shared" si="1"/>
        <v>0</v>
      </c>
      <c r="R22" s="794">
        <f t="shared" si="1"/>
        <v>237648.09346875074</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3675.2249999999999</v>
      </c>
      <c r="D24" s="676">
        <f>+landbouw!C8</f>
        <v>0</v>
      </c>
      <c r="E24" s="676">
        <f>+landbouw!D8</f>
        <v>72.613120883931643</v>
      </c>
      <c r="F24" s="676">
        <f>+landbouw!E8</f>
        <v>34.623081981527022</v>
      </c>
      <c r="G24" s="676">
        <f>+landbouw!F8</f>
        <v>11993.478875059462</v>
      </c>
      <c r="H24" s="676">
        <f>+landbouw!G8</f>
        <v>0</v>
      </c>
      <c r="I24" s="676">
        <f>+landbouw!H8</f>
        <v>0</v>
      </c>
      <c r="J24" s="676">
        <f>+landbouw!I8</f>
        <v>0</v>
      </c>
      <c r="K24" s="676">
        <f>+landbouw!J8</f>
        <v>454.64320879096618</v>
      </c>
      <c r="L24" s="676">
        <f>+landbouw!K8</f>
        <v>0</v>
      </c>
      <c r="M24" s="676">
        <f>+landbouw!L8</f>
        <v>0</v>
      </c>
      <c r="N24" s="676">
        <f>+landbouw!M8</f>
        <v>0</v>
      </c>
      <c r="O24" s="676">
        <f>+landbouw!N8</f>
        <v>0</v>
      </c>
      <c r="P24" s="676">
        <f>+landbouw!O8</f>
        <v>0</v>
      </c>
      <c r="Q24" s="677">
        <f>+landbouw!P8</f>
        <v>0</v>
      </c>
      <c r="R24" s="679">
        <f>SUM(C24:Q24)</f>
        <v>16230.583286715886</v>
      </c>
      <c r="S24" s="68"/>
    </row>
    <row r="25" spans="1:19" s="445" customFormat="1" ht="15" thickBot="1">
      <c r="A25" s="813" t="s">
        <v>879</v>
      </c>
      <c r="B25" s="979"/>
      <c r="C25" s="980">
        <f>IF(Onbekend_ele_kWh="---",0,Onbekend_ele_kWh)/1000+IF(REST_rest_ele_kWh="---",0,REST_rest_ele_kWh)/1000</f>
        <v>1130.915</v>
      </c>
      <c r="D25" s="980"/>
      <c r="E25" s="980">
        <f>IF(onbekend_gas_kWh="---",0,onbekend_gas_kWh)/1000+IF(REST_rest_gas_kWh="---",0,REST_rest_gas_kWh)/1000</f>
        <v>5185.0414788326798</v>
      </c>
      <c r="F25" s="980"/>
      <c r="G25" s="980"/>
      <c r="H25" s="980"/>
      <c r="I25" s="980"/>
      <c r="J25" s="980"/>
      <c r="K25" s="980"/>
      <c r="L25" s="980"/>
      <c r="M25" s="980"/>
      <c r="N25" s="980"/>
      <c r="O25" s="980"/>
      <c r="P25" s="980"/>
      <c r="Q25" s="981"/>
      <c r="R25" s="679">
        <f>SUM(C25:Q25)</f>
        <v>6315.9564788326797</v>
      </c>
      <c r="S25" s="68"/>
    </row>
    <row r="26" spans="1:19" s="445" customFormat="1" ht="15.75" thickBot="1">
      <c r="A26" s="682" t="s">
        <v>880</v>
      </c>
      <c r="B26" s="799"/>
      <c r="C26" s="794">
        <f>SUM(C24:C25)</f>
        <v>4806.1399999999994</v>
      </c>
      <c r="D26" s="794">
        <f t="shared" ref="D26:R26" si="2">SUM(D24:D25)</f>
        <v>0</v>
      </c>
      <c r="E26" s="794">
        <f t="shared" si="2"/>
        <v>5257.6545997166113</v>
      </c>
      <c r="F26" s="794">
        <f t="shared" si="2"/>
        <v>34.623081981527022</v>
      </c>
      <c r="G26" s="794">
        <f t="shared" si="2"/>
        <v>11993.478875059462</v>
      </c>
      <c r="H26" s="794">
        <f t="shared" si="2"/>
        <v>0</v>
      </c>
      <c r="I26" s="794">
        <f t="shared" si="2"/>
        <v>0</v>
      </c>
      <c r="J26" s="794">
        <f t="shared" si="2"/>
        <v>0</v>
      </c>
      <c r="K26" s="794">
        <f t="shared" si="2"/>
        <v>454.64320879096618</v>
      </c>
      <c r="L26" s="794">
        <f t="shared" si="2"/>
        <v>0</v>
      </c>
      <c r="M26" s="794">
        <f t="shared" si="2"/>
        <v>0</v>
      </c>
      <c r="N26" s="794">
        <f t="shared" si="2"/>
        <v>0</v>
      </c>
      <c r="O26" s="794">
        <f t="shared" si="2"/>
        <v>0</v>
      </c>
      <c r="P26" s="794">
        <f t="shared" si="2"/>
        <v>0</v>
      </c>
      <c r="Q26" s="794">
        <f t="shared" si="2"/>
        <v>0</v>
      </c>
      <c r="R26" s="794">
        <f t="shared" si="2"/>
        <v>22546.539765548565</v>
      </c>
      <c r="S26" s="68"/>
    </row>
    <row r="27" spans="1:19" s="445" customFormat="1" ht="17.25" thickTop="1" thickBot="1">
      <c r="A27" s="683" t="s">
        <v>115</v>
      </c>
      <c r="B27" s="786"/>
      <c r="C27" s="684">
        <f ca="1">C22+C16+C26</f>
        <v>193577.41922927334</v>
      </c>
      <c r="D27" s="684">
        <f t="shared" ref="D27:R27" ca="1" si="3">D22+D16+D26</f>
        <v>0</v>
      </c>
      <c r="E27" s="684">
        <f t="shared" ca="1" si="3"/>
        <v>329587.2809326119</v>
      </c>
      <c r="F27" s="684">
        <f t="shared" si="3"/>
        <v>3753.1581730177622</v>
      </c>
      <c r="G27" s="684">
        <f t="shared" ca="1" si="3"/>
        <v>103056.29383605605</v>
      </c>
      <c r="H27" s="684">
        <f t="shared" si="3"/>
        <v>198724.97945075951</v>
      </c>
      <c r="I27" s="684">
        <f t="shared" si="3"/>
        <v>27959.347067732491</v>
      </c>
      <c r="J27" s="684">
        <f t="shared" si="3"/>
        <v>0</v>
      </c>
      <c r="K27" s="684">
        <f t="shared" si="3"/>
        <v>1746.4904470974548</v>
      </c>
      <c r="L27" s="684">
        <f t="shared" si="3"/>
        <v>0</v>
      </c>
      <c r="M27" s="684">
        <f t="shared" ca="1" si="3"/>
        <v>0</v>
      </c>
      <c r="N27" s="684">
        <f t="shared" si="3"/>
        <v>10122.644791391353</v>
      </c>
      <c r="O27" s="684">
        <f t="shared" ca="1" si="3"/>
        <v>24384.811814285727</v>
      </c>
      <c r="P27" s="684">
        <f t="shared" si="3"/>
        <v>120.37666666666667</v>
      </c>
      <c r="Q27" s="684">
        <f t="shared" si="3"/>
        <v>381.33333333333337</v>
      </c>
      <c r="R27" s="684">
        <f t="shared" ca="1" si="3"/>
        <v>893414.13574222545</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10157.775381491067</v>
      </c>
      <c r="D40" s="676">
        <f ca="1">tertiair!C20</f>
        <v>0</v>
      </c>
      <c r="E40" s="676">
        <f ca="1">tertiair!D20</f>
        <v>9828.5536155359805</v>
      </c>
      <c r="F40" s="676">
        <f>tertiair!E20</f>
        <v>88.155129714249341</v>
      </c>
      <c r="G40" s="676">
        <f ca="1">tertiair!F20</f>
        <v>2484.4953688088895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22558.979495550189</v>
      </c>
    </row>
    <row r="41" spans="1:18">
      <c r="A41" s="804" t="s">
        <v>220</v>
      </c>
      <c r="B41" s="811"/>
      <c r="C41" s="676">
        <f ca="1">huishoudens!B12</f>
        <v>11152.236581577961</v>
      </c>
      <c r="D41" s="676">
        <f ca="1">huishoudens!C12</f>
        <v>0</v>
      </c>
      <c r="E41" s="676">
        <f>huishoudens!D12</f>
        <v>30128.28043366881</v>
      </c>
      <c r="F41" s="676">
        <f>huishoudens!E12</f>
        <v>422.45154359893604</v>
      </c>
      <c r="G41" s="676">
        <f>huishoudens!F12</f>
        <v>15148.804950180824</v>
      </c>
      <c r="H41" s="676">
        <f>huishoudens!G12</f>
        <v>0</v>
      </c>
      <c r="I41" s="676">
        <f>huishoudens!H12</f>
        <v>0</v>
      </c>
      <c r="J41" s="676">
        <f>huishoudens!I12</f>
        <v>0</v>
      </c>
      <c r="K41" s="676">
        <f>huishoudens!J12</f>
        <v>364.43409999326616</v>
      </c>
      <c r="L41" s="676">
        <f>huishoudens!K12</f>
        <v>0</v>
      </c>
      <c r="M41" s="676">
        <f>huishoudens!L12</f>
        <v>0</v>
      </c>
      <c r="N41" s="676">
        <f>huishoudens!M12</f>
        <v>0</v>
      </c>
      <c r="O41" s="676">
        <f>huishoudens!N12</f>
        <v>0</v>
      </c>
      <c r="P41" s="676">
        <f>huishoudens!O12</f>
        <v>0</v>
      </c>
      <c r="Q41" s="751">
        <f>huishoudens!P12</f>
        <v>0</v>
      </c>
      <c r="R41" s="832">
        <f t="shared" ca="1" si="4"/>
        <v>57216.207609019802</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17602.097138248861</v>
      </c>
      <c r="D43" s="676">
        <f ca="1">industrie!C22</f>
        <v>0</v>
      </c>
      <c r="E43" s="676">
        <f>industrie!D22</f>
        <v>25555.466988939097</v>
      </c>
      <c r="F43" s="676">
        <f>industrie!E22</f>
        <v>148.9046457333954</v>
      </c>
      <c r="G43" s="676">
        <f>industrie!F22</f>
        <v>6680.4712755963783</v>
      </c>
      <c r="H43" s="676">
        <f>industrie!G22</f>
        <v>0</v>
      </c>
      <c r="I43" s="676">
        <f>industrie!H22</f>
        <v>0</v>
      </c>
      <c r="J43" s="676">
        <f>industrie!I22</f>
        <v>0</v>
      </c>
      <c r="K43" s="676">
        <f>industrie!J22</f>
        <v>92.879822367230773</v>
      </c>
      <c r="L43" s="676">
        <f>industrie!K22</f>
        <v>0</v>
      </c>
      <c r="M43" s="676">
        <f>industrie!L22</f>
        <v>0</v>
      </c>
      <c r="N43" s="676">
        <f>industrie!M22</f>
        <v>0</v>
      </c>
      <c r="O43" s="676">
        <f>industrie!N22</f>
        <v>0</v>
      </c>
      <c r="P43" s="676">
        <f>industrie!O22</f>
        <v>0</v>
      </c>
      <c r="Q43" s="751">
        <f>industrie!P22</f>
        <v>0</v>
      </c>
      <c r="R43" s="831">
        <f t="shared" ca="1" si="4"/>
        <v>50079.81987088496</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38912.109101317888</v>
      </c>
      <c r="D46" s="709">
        <f t="shared" ref="D46:Q46" ca="1" si="5">SUM(D39:D45)</f>
        <v>0</v>
      </c>
      <c r="E46" s="709">
        <f t="shared" ca="1" si="5"/>
        <v>65512.30103814388</v>
      </c>
      <c r="F46" s="709">
        <f t="shared" si="5"/>
        <v>659.51131904658087</v>
      </c>
      <c r="G46" s="709">
        <f t="shared" ca="1" si="5"/>
        <v>24313.771594586091</v>
      </c>
      <c r="H46" s="709">
        <f t="shared" si="5"/>
        <v>0</v>
      </c>
      <c r="I46" s="709">
        <f t="shared" si="5"/>
        <v>0</v>
      </c>
      <c r="J46" s="709">
        <f t="shared" si="5"/>
        <v>0</v>
      </c>
      <c r="K46" s="709">
        <f t="shared" si="5"/>
        <v>457.31392236049692</v>
      </c>
      <c r="L46" s="709">
        <f t="shared" si="5"/>
        <v>0</v>
      </c>
      <c r="M46" s="709">
        <f t="shared" ca="1" si="5"/>
        <v>0</v>
      </c>
      <c r="N46" s="709">
        <f t="shared" si="5"/>
        <v>0</v>
      </c>
      <c r="O46" s="709">
        <f t="shared" ca="1" si="5"/>
        <v>0</v>
      </c>
      <c r="P46" s="709">
        <f t="shared" si="5"/>
        <v>0</v>
      </c>
      <c r="Q46" s="709">
        <f t="shared" si="5"/>
        <v>0</v>
      </c>
      <c r="R46" s="709">
        <f ca="1">SUM(R39:R45)</f>
        <v>129855.00697545495</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1.5298232781914616</v>
      </c>
      <c r="D49" s="676">
        <f ca="1">transport!C58</f>
        <v>0</v>
      </c>
      <c r="E49" s="676">
        <f>transport!D58</f>
        <v>0</v>
      </c>
      <c r="F49" s="676">
        <f>transport!E58</f>
        <v>0</v>
      </c>
      <c r="G49" s="676">
        <f>transport!F58</f>
        <v>0</v>
      </c>
      <c r="H49" s="676">
        <f>transport!G58</f>
        <v>395.18802137127955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396.71784464947103</v>
      </c>
    </row>
    <row r="50" spans="1:18">
      <c r="A50" s="807" t="s">
        <v>302</v>
      </c>
      <c r="B50" s="817"/>
      <c r="C50" s="986">
        <f ca="1">transport!B18</f>
        <v>1.8961952500744326</v>
      </c>
      <c r="D50" s="986">
        <f>transport!C18</f>
        <v>0</v>
      </c>
      <c r="E50" s="986">
        <f>transport!D18</f>
        <v>2.2834811009674345</v>
      </c>
      <c r="F50" s="986">
        <f>transport!E18</f>
        <v>184.5961466186447</v>
      </c>
      <c r="G50" s="986">
        <f>transport!F18</f>
        <v>0</v>
      </c>
      <c r="H50" s="986">
        <f>transport!G18</f>
        <v>52664.381491981512</v>
      </c>
      <c r="I50" s="986">
        <f>transport!H18</f>
        <v>6961.87741986539</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59815.034734816589</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3.4260185282658941</v>
      </c>
      <c r="D52" s="709">
        <f t="shared" ref="D52:Q52" ca="1" si="6">SUM(D48:D51)</f>
        <v>0</v>
      </c>
      <c r="E52" s="709">
        <f t="shared" si="6"/>
        <v>2.2834811009674345</v>
      </c>
      <c r="F52" s="709">
        <f t="shared" si="6"/>
        <v>184.5961466186447</v>
      </c>
      <c r="G52" s="709">
        <f t="shared" si="6"/>
        <v>0</v>
      </c>
      <c r="H52" s="709">
        <f t="shared" si="6"/>
        <v>53059.569513352792</v>
      </c>
      <c r="I52" s="709">
        <f t="shared" si="6"/>
        <v>6961.87741986539</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60211.752579466061</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757.65417358393097</v>
      </c>
      <c r="D54" s="986">
        <f ca="1">+landbouw!C12</f>
        <v>0</v>
      </c>
      <c r="E54" s="986">
        <f>+landbouw!D12</f>
        <v>14.667850418554194</v>
      </c>
      <c r="F54" s="986">
        <f>+landbouw!E12</f>
        <v>7.8594396098066346</v>
      </c>
      <c r="G54" s="986">
        <f>+landbouw!F12</f>
        <v>3202.2588596408764</v>
      </c>
      <c r="H54" s="986">
        <f>+landbouw!G12</f>
        <v>0</v>
      </c>
      <c r="I54" s="986">
        <f>+landbouw!H12</f>
        <v>0</v>
      </c>
      <c r="J54" s="986">
        <f>+landbouw!I12</f>
        <v>0</v>
      </c>
      <c r="K54" s="986">
        <f>+landbouw!J12</f>
        <v>160.94369591200203</v>
      </c>
      <c r="L54" s="986">
        <f>+landbouw!K12</f>
        <v>0</v>
      </c>
      <c r="M54" s="986">
        <f>+landbouw!L12</f>
        <v>0</v>
      </c>
      <c r="N54" s="986">
        <f>+landbouw!M12</f>
        <v>0</v>
      </c>
      <c r="O54" s="986">
        <f>+landbouw!N12</f>
        <v>0</v>
      </c>
      <c r="P54" s="986">
        <f>+landbouw!O12</f>
        <v>0</v>
      </c>
      <c r="Q54" s="987">
        <f>+landbouw!P12</f>
        <v>0</v>
      </c>
      <c r="R54" s="708">
        <f ca="1">SUM(C54:Q54)</f>
        <v>4143.3840191651698</v>
      </c>
    </row>
    <row r="55" spans="1:18" ht="15" thickBot="1">
      <c r="A55" s="807" t="s">
        <v>879</v>
      </c>
      <c r="B55" s="817"/>
      <c r="C55" s="986">
        <f ca="1">C25*'EF ele_warmte'!B12</f>
        <v>233.14013964278956</v>
      </c>
      <c r="D55" s="986"/>
      <c r="E55" s="986">
        <f>E25*EF_CO2_aardgas</f>
        <v>1047.3783787242014</v>
      </c>
      <c r="F55" s="986"/>
      <c r="G55" s="986"/>
      <c r="H55" s="986"/>
      <c r="I55" s="986"/>
      <c r="J55" s="986"/>
      <c r="K55" s="986"/>
      <c r="L55" s="986"/>
      <c r="M55" s="986"/>
      <c r="N55" s="986"/>
      <c r="O55" s="986"/>
      <c r="P55" s="986"/>
      <c r="Q55" s="987"/>
      <c r="R55" s="708">
        <f ca="1">SUM(C55:Q55)</f>
        <v>1280.518518366991</v>
      </c>
    </row>
    <row r="56" spans="1:18" ht="15.75" thickBot="1">
      <c r="A56" s="805" t="s">
        <v>880</v>
      </c>
      <c r="B56" s="818"/>
      <c r="C56" s="709">
        <f ca="1">SUM(C54:C55)</f>
        <v>990.79431322672053</v>
      </c>
      <c r="D56" s="709">
        <f t="shared" ref="D56:Q56" ca="1" si="7">SUM(D54:D55)</f>
        <v>0</v>
      </c>
      <c r="E56" s="709">
        <f t="shared" si="7"/>
        <v>1062.0462291427557</v>
      </c>
      <c r="F56" s="709">
        <f t="shared" si="7"/>
        <v>7.8594396098066346</v>
      </c>
      <c r="G56" s="709">
        <f t="shared" si="7"/>
        <v>3202.2588596408764</v>
      </c>
      <c r="H56" s="709">
        <f t="shared" si="7"/>
        <v>0</v>
      </c>
      <c r="I56" s="709">
        <f t="shared" si="7"/>
        <v>0</v>
      </c>
      <c r="J56" s="709">
        <f t="shared" si="7"/>
        <v>0</v>
      </c>
      <c r="K56" s="709">
        <f t="shared" si="7"/>
        <v>160.94369591200203</v>
      </c>
      <c r="L56" s="709">
        <f t="shared" si="7"/>
        <v>0</v>
      </c>
      <c r="M56" s="709">
        <f t="shared" si="7"/>
        <v>0</v>
      </c>
      <c r="N56" s="709">
        <f t="shared" si="7"/>
        <v>0</v>
      </c>
      <c r="O56" s="709">
        <f t="shared" si="7"/>
        <v>0</v>
      </c>
      <c r="P56" s="709">
        <f t="shared" si="7"/>
        <v>0</v>
      </c>
      <c r="Q56" s="710">
        <f t="shared" si="7"/>
        <v>0</v>
      </c>
      <c r="R56" s="711">
        <f ca="1">SUM(R54:R55)</f>
        <v>5423.9025375321607</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39906.329433072875</v>
      </c>
      <c r="D61" s="717">
        <f t="shared" ref="D61:Q61" ca="1" si="8">D46+D52+D56</f>
        <v>0</v>
      </c>
      <c r="E61" s="717">
        <f t="shared" ca="1" si="8"/>
        <v>66576.630748387601</v>
      </c>
      <c r="F61" s="717">
        <f t="shared" si="8"/>
        <v>851.96690527503222</v>
      </c>
      <c r="G61" s="717">
        <f t="shared" ca="1" si="8"/>
        <v>27516.030454226966</v>
      </c>
      <c r="H61" s="717">
        <f t="shared" si="8"/>
        <v>53059.569513352792</v>
      </c>
      <c r="I61" s="717">
        <f t="shared" si="8"/>
        <v>6961.87741986539</v>
      </c>
      <c r="J61" s="717">
        <f t="shared" si="8"/>
        <v>0</v>
      </c>
      <c r="K61" s="717">
        <f t="shared" si="8"/>
        <v>618.25761827249892</v>
      </c>
      <c r="L61" s="717">
        <f t="shared" si="8"/>
        <v>0</v>
      </c>
      <c r="M61" s="717">
        <f t="shared" ca="1" si="8"/>
        <v>0</v>
      </c>
      <c r="N61" s="717">
        <f t="shared" si="8"/>
        <v>0</v>
      </c>
      <c r="O61" s="717">
        <f t="shared" ca="1" si="8"/>
        <v>0</v>
      </c>
      <c r="P61" s="717">
        <f t="shared" si="8"/>
        <v>0</v>
      </c>
      <c r="Q61" s="717">
        <f t="shared" si="8"/>
        <v>0</v>
      </c>
      <c r="R61" s="717">
        <f ca="1">R46+R52+R56</f>
        <v>195490.66209245316</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0.20615177943770274</v>
      </c>
      <c r="D63" s="761">
        <f t="shared" ca="1" si="9"/>
        <v>0</v>
      </c>
      <c r="E63" s="988">
        <f t="shared" ca="1" si="9"/>
        <v>0.20199999999999999</v>
      </c>
      <c r="F63" s="761">
        <f t="shared" si="9"/>
        <v>0.22700000000000006</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13005.792835278469</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13005.792835278469</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54097.212316074481</v>
      </c>
      <c r="C4" s="449">
        <f>huishoudens!C8</f>
        <v>0</v>
      </c>
      <c r="D4" s="449">
        <f>huishoudens!D8</f>
        <v>149149.90313697429</v>
      </c>
      <c r="E4" s="449">
        <f>huishoudens!E8</f>
        <v>1861.0200158543437</v>
      </c>
      <c r="F4" s="449">
        <f>huishoudens!F8</f>
        <v>56737.097191688474</v>
      </c>
      <c r="G4" s="449">
        <f>huishoudens!G8</f>
        <v>0</v>
      </c>
      <c r="H4" s="449">
        <f>huishoudens!H8</f>
        <v>0</v>
      </c>
      <c r="I4" s="449">
        <f>huishoudens!I8</f>
        <v>0</v>
      </c>
      <c r="J4" s="449">
        <f>huishoudens!J8</f>
        <v>1029.47485873804</v>
      </c>
      <c r="K4" s="449">
        <f>huishoudens!K8</f>
        <v>0</v>
      </c>
      <c r="L4" s="449">
        <f>huishoudens!L8</f>
        <v>0</v>
      </c>
      <c r="M4" s="449">
        <f>huishoudens!M8</f>
        <v>0</v>
      </c>
      <c r="N4" s="449">
        <f>huishoudens!N8</f>
        <v>17609.834878547015</v>
      </c>
      <c r="O4" s="449">
        <f>huishoudens!O8</f>
        <v>115.68666666666667</v>
      </c>
      <c r="P4" s="450">
        <f>huishoudens!P8</f>
        <v>286</v>
      </c>
      <c r="Q4" s="451">
        <f>SUM(B4:P4)</f>
        <v>280886.22906454327</v>
      </c>
    </row>
    <row r="5" spans="1:17">
      <c r="A5" s="448" t="s">
        <v>155</v>
      </c>
      <c r="B5" s="449">
        <f ca="1">tertiair!B16</f>
        <v>46675.289000000004</v>
      </c>
      <c r="C5" s="449">
        <f ca="1">tertiair!C16</f>
        <v>0</v>
      </c>
      <c r="D5" s="449">
        <f ca="1">tertiair!D16</f>
        <v>48656.206017504854</v>
      </c>
      <c r="E5" s="449">
        <f>tertiair!E16</f>
        <v>388.34858904955655</v>
      </c>
      <c r="F5" s="449">
        <f ca="1">tertiair!F16</f>
        <v>9305.2261004078246</v>
      </c>
      <c r="G5" s="449">
        <f>tertiair!G16</f>
        <v>0</v>
      </c>
      <c r="H5" s="449">
        <f>tertiair!H16</f>
        <v>0</v>
      </c>
      <c r="I5" s="449">
        <f>tertiair!I16</f>
        <v>0</v>
      </c>
      <c r="J5" s="449">
        <f>tertiair!J16</f>
        <v>0</v>
      </c>
      <c r="K5" s="449">
        <f>tertiair!K16</f>
        <v>0</v>
      </c>
      <c r="L5" s="449">
        <f ca="1">tertiair!L16</f>
        <v>0</v>
      </c>
      <c r="M5" s="449">
        <f>tertiair!M16</f>
        <v>0</v>
      </c>
      <c r="N5" s="449">
        <f ca="1">tertiair!N16</f>
        <v>3736.3105625097364</v>
      </c>
      <c r="O5" s="449">
        <f>tertiair!O16</f>
        <v>4.6900000000000004</v>
      </c>
      <c r="P5" s="450">
        <f>tertiair!P16</f>
        <v>95.333333333333343</v>
      </c>
      <c r="Q5" s="448">
        <f t="shared" ref="Q5:Q14" ca="1" si="0">SUM(B5:P5)</f>
        <v>108861.40360280531</v>
      </c>
    </row>
    <row r="6" spans="1:17">
      <c r="A6" s="448" t="s">
        <v>193</v>
      </c>
      <c r="B6" s="449">
        <f>'openbare verlichting'!B8</f>
        <v>2597.9960000000001</v>
      </c>
      <c r="C6" s="449"/>
      <c r="D6" s="449"/>
      <c r="E6" s="449"/>
      <c r="F6" s="449"/>
      <c r="G6" s="449"/>
      <c r="H6" s="449"/>
      <c r="I6" s="449"/>
      <c r="J6" s="449"/>
      <c r="K6" s="449"/>
      <c r="L6" s="449"/>
      <c r="M6" s="449"/>
      <c r="N6" s="449"/>
      <c r="O6" s="449"/>
      <c r="P6" s="450"/>
      <c r="Q6" s="448">
        <f t="shared" si="0"/>
        <v>2597.9960000000001</v>
      </c>
    </row>
    <row r="7" spans="1:17">
      <c r="A7" s="448" t="s">
        <v>111</v>
      </c>
      <c r="B7" s="449">
        <f>landbouw!B8</f>
        <v>3675.2249999999999</v>
      </c>
      <c r="C7" s="449">
        <f>landbouw!C8</f>
        <v>0</v>
      </c>
      <c r="D7" s="449">
        <f>landbouw!D8</f>
        <v>72.613120883931643</v>
      </c>
      <c r="E7" s="449">
        <f>landbouw!E8</f>
        <v>34.623081981527022</v>
      </c>
      <c r="F7" s="449">
        <f>landbouw!F8</f>
        <v>11993.478875059462</v>
      </c>
      <c r="G7" s="449">
        <f>landbouw!G8</f>
        <v>0</v>
      </c>
      <c r="H7" s="449">
        <f>landbouw!H8</f>
        <v>0</v>
      </c>
      <c r="I7" s="449">
        <f>landbouw!I8</f>
        <v>0</v>
      </c>
      <c r="J7" s="449">
        <f>landbouw!J8</f>
        <v>454.64320879096618</v>
      </c>
      <c r="K7" s="449">
        <f>landbouw!K8</f>
        <v>0</v>
      </c>
      <c r="L7" s="449">
        <f>landbouw!L8</f>
        <v>0</v>
      </c>
      <c r="M7" s="449">
        <f>landbouw!M8</f>
        <v>0</v>
      </c>
      <c r="N7" s="449">
        <f>landbouw!N8</f>
        <v>0</v>
      </c>
      <c r="O7" s="449">
        <f>landbouw!O8</f>
        <v>0</v>
      </c>
      <c r="P7" s="450">
        <f>landbouw!P8</f>
        <v>0</v>
      </c>
      <c r="Q7" s="448">
        <f t="shared" si="0"/>
        <v>16230.583286715886</v>
      </c>
    </row>
    <row r="8" spans="1:17">
      <c r="A8" s="448" t="s">
        <v>671</v>
      </c>
      <c r="B8" s="449">
        <f>industrie!B18</f>
        <v>85384.163000000015</v>
      </c>
      <c r="C8" s="449">
        <f>industrie!C18</f>
        <v>0</v>
      </c>
      <c r="D8" s="449">
        <f>industrie!D18</f>
        <v>126512.21281653017</v>
      </c>
      <c r="E8" s="449">
        <f>industrie!E18</f>
        <v>655.96760234975943</v>
      </c>
      <c r="F8" s="449">
        <f>industrie!F18</f>
        <v>25020.491668900293</v>
      </c>
      <c r="G8" s="449">
        <f>industrie!G18</f>
        <v>0</v>
      </c>
      <c r="H8" s="449">
        <f>industrie!H18</f>
        <v>0</v>
      </c>
      <c r="I8" s="449">
        <f>industrie!I18</f>
        <v>0</v>
      </c>
      <c r="J8" s="449">
        <f>industrie!J18</f>
        <v>262.37237956844854</v>
      </c>
      <c r="K8" s="449">
        <f>industrie!K18</f>
        <v>0</v>
      </c>
      <c r="L8" s="449">
        <f>industrie!L18</f>
        <v>0</v>
      </c>
      <c r="M8" s="449">
        <f>industrie!M18</f>
        <v>0</v>
      </c>
      <c r="N8" s="449">
        <f>industrie!N18</f>
        <v>3038.6663732289753</v>
      </c>
      <c r="O8" s="449">
        <f>industrie!O18</f>
        <v>0</v>
      </c>
      <c r="P8" s="450">
        <f>industrie!P18</f>
        <v>0</v>
      </c>
      <c r="Q8" s="448">
        <f t="shared" si="0"/>
        <v>240873.87384057767</v>
      </c>
    </row>
    <row r="9" spans="1:17" s="454" customFormat="1">
      <c r="A9" s="452" t="s">
        <v>568</v>
      </c>
      <c r="B9" s="453">
        <f>transport!B14</f>
        <v>9.1980542455004439</v>
      </c>
      <c r="C9" s="453">
        <f>transport!C14</f>
        <v>0</v>
      </c>
      <c r="D9" s="453">
        <f>transport!D14</f>
        <v>11.304361885977398</v>
      </c>
      <c r="E9" s="453">
        <f>transport!E14</f>
        <v>813.19888378257576</v>
      </c>
      <c r="F9" s="453">
        <f>transport!F14</f>
        <v>0</v>
      </c>
      <c r="G9" s="453">
        <f>transport!G14</f>
        <v>197244.8745018034</v>
      </c>
      <c r="H9" s="453">
        <f>transport!H14</f>
        <v>27959.347067732491</v>
      </c>
      <c r="I9" s="453">
        <f>transport!I14</f>
        <v>0</v>
      </c>
      <c r="J9" s="453">
        <f>transport!J14</f>
        <v>0</v>
      </c>
      <c r="K9" s="453">
        <f>transport!K14</f>
        <v>0</v>
      </c>
      <c r="L9" s="453">
        <f>transport!L14</f>
        <v>0</v>
      </c>
      <c r="M9" s="453">
        <f>transport!M14</f>
        <v>10057.225729047752</v>
      </c>
      <c r="N9" s="453">
        <f>transport!N14</f>
        <v>0</v>
      </c>
      <c r="O9" s="453">
        <f>transport!O14</f>
        <v>0</v>
      </c>
      <c r="P9" s="453">
        <f>transport!P14</f>
        <v>0</v>
      </c>
      <c r="Q9" s="452">
        <f>SUM(B9:P9)</f>
        <v>236095.14859849768</v>
      </c>
    </row>
    <row r="10" spans="1:17">
      <c r="A10" s="448" t="s">
        <v>558</v>
      </c>
      <c r="B10" s="449">
        <f>transport!B54</f>
        <v>7.4208589533604341</v>
      </c>
      <c r="C10" s="449">
        <f>transport!C54</f>
        <v>0</v>
      </c>
      <c r="D10" s="449">
        <f>transport!D54</f>
        <v>0</v>
      </c>
      <c r="E10" s="449">
        <f>transport!E54</f>
        <v>0</v>
      </c>
      <c r="F10" s="449">
        <f>transport!F54</f>
        <v>0</v>
      </c>
      <c r="G10" s="449">
        <f>transport!G54</f>
        <v>1480.104948956103</v>
      </c>
      <c r="H10" s="449">
        <f>transport!H54</f>
        <v>0</v>
      </c>
      <c r="I10" s="449">
        <f>transport!I54</f>
        <v>0</v>
      </c>
      <c r="J10" s="449">
        <f>transport!J54</f>
        <v>0</v>
      </c>
      <c r="K10" s="449">
        <f>transport!K54</f>
        <v>0</v>
      </c>
      <c r="L10" s="449">
        <f>transport!L54</f>
        <v>0</v>
      </c>
      <c r="M10" s="449">
        <f>transport!M54</f>
        <v>65.419062343600089</v>
      </c>
      <c r="N10" s="449">
        <f>transport!N54</f>
        <v>0</v>
      </c>
      <c r="O10" s="449">
        <f>transport!O54</f>
        <v>0</v>
      </c>
      <c r="P10" s="450">
        <f>transport!P54</f>
        <v>0</v>
      </c>
      <c r="Q10" s="448">
        <f t="shared" si="0"/>
        <v>1552.9448702530635</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1130.915</v>
      </c>
      <c r="C14" s="456"/>
      <c r="D14" s="456">
        <f>'SEAP template'!E25</f>
        <v>5185.0414788326798</v>
      </c>
      <c r="E14" s="456"/>
      <c r="F14" s="456"/>
      <c r="G14" s="456"/>
      <c r="H14" s="456"/>
      <c r="I14" s="456"/>
      <c r="J14" s="456"/>
      <c r="K14" s="456"/>
      <c r="L14" s="456"/>
      <c r="M14" s="456"/>
      <c r="N14" s="456"/>
      <c r="O14" s="456"/>
      <c r="P14" s="457"/>
      <c r="Q14" s="448">
        <f t="shared" si="0"/>
        <v>6315.9564788326797</v>
      </c>
    </row>
    <row r="15" spans="1:17" s="461" customFormat="1">
      <c r="A15" s="458" t="s">
        <v>562</v>
      </c>
      <c r="B15" s="459">
        <f ca="1">SUM(B4:B14)</f>
        <v>193577.41922927336</v>
      </c>
      <c r="C15" s="459">
        <f t="shared" ref="C15:Q15" ca="1" si="1">SUM(C4:C14)</f>
        <v>0</v>
      </c>
      <c r="D15" s="459">
        <f t="shared" ca="1" si="1"/>
        <v>329587.2809326119</v>
      </c>
      <c r="E15" s="459">
        <f t="shared" si="1"/>
        <v>3753.1581730177622</v>
      </c>
      <c r="F15" s="459">
        <f t="shared" ca="1" si="1"/>
        <v>103056.29383605605</v>
      </c>
      <c r="G15" s="459">
        <f t="shared" si="1"/>
        <v>198724.97945075951</v>
      </c>
      <c r="H15" s="459">
        <f t="shared" si="1"/>
        <v>27959.347067732491</v>
      </c>
      <c r="I15" s="459">
        <f t="shared" si="1"/>
        <v>0</v>
      </c>
      <c r="J15" s="459">
        <f t="shared" si="1"/>
        <v>1746.4904470974548</v>
      </c>
      <c r="K15" s="459">
        <f t="shared" si="1"/>
        <v>0</v>
      </c>
      <c r="L15" s="459">
        <f t="shared" ca="1" si="1"/>
        <v>0</v>
      </c>
      <c r="M15" s="459">
        <f t="shared" si="1"/>
        <v>10122.644791391353</v>
      </c>
      <c r="N15" s="459">
        <f t="shared" ca="1" si="1"/>
        <v>24384.811814285727</v>
      </c>
      <c r="O15" s="459">
        <f t="shared" si="1"/>
        <v>120.37666666666667</v>
      </c>
      <c r="P15" s="459">
        <f t="shared" si="1"/>
        <v>381.33333333333337</v>
      </c>
      <c r="Q15" s="459">
        <f t="shared" ca="1" si="1"/>
        <v>893414.13574222557</v>
      </c>
    </row>
    <row r="17" spans="1:17">
      <c r="A17" s="462" t="s">
        <v>563</v>
      </c>
      <c r="B17" s="766">
        <f ca="1">huishoudens!B10</f>
        <v>0.20615177943770271</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11152.236581577961</v>
      </c>
      <c r="C22" s="449">
        <f t="shared" ref="C22:C32" ca="1" si="3">C4*$C$17</f>
        <v>0</v>
      </c>
      <c r="D22" s="449">
        <f t="shared" ref="D22:D32" si="4">D4*$D$17</f>
        <v>30128.28043366881</v>
      </c>
      <c r="E22" s="449">
        <f t="shared" ref="E22:E32" si="5">E4*$E$17</f>
        <v>422.45154359893604</v>
      </c>
      <c r="F22" s="449">
        <f t="shared" ref="F22:F32" si="6">F4*$F$17</f>
        <v>15148.804950180824</v>
      </c>
      <c r="G22" s="449">
        <f t="shared" ref="G22:G32" si="7">G4*$G$17</f>
        <v>0</v>
      </c>
      <c r="H22" s="449">
        <f t="shared" ref="H22:H32" si="8">H4*$H$17</f>
        <v>0</v>
      </c>
      <c r="I22" s="449">
        <f t="shared" ref="I22:I32" si="9">I4*$I$17</f>
        <v>0</v>
      </c>
      <c r="J22" s="449">
        <f t="shared" ref="J22:J32" si="10">J4*$J$17</f>
        <v>364.43409999326616</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57216.207609019802</v>
      </c>
    </row>
    <row r="23" spans="1:17">
      <c r="A23" s="448" t="s">
        <v>155</v>
      </c>
      <c r="B23" s="449">
        <f t="shared" ca="1" si="2"/>
        <v>9622.1938831190328</v>
      </c>
      <c r="C23" s="449">
        <f t="shared" ca="1" si="3"/>
        <v>0</v>
      </c>
      <c r="D23" s="449">
        <f t="shared" ca="1" si="4"/>
        <v>9828.5536155359805</v>
      </c>
      <c r="E23" s="449">
        <f t="shared" si="5"/>
        <v>88.155129714249341</v>
      </c>
      <c r="F23" s="449">
        <f t="shared" ca="1" si="6"/>
        <v>2484.4953688088895</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22023.397997178155</v>
      </c>
    </row>
    <row r="24" spans="1:17">
      <c r="A24" s="448" t="s">
        <v>193</v>
      </c>
      <c r="B24" s="449">
        <f t="shared" ca="1" si="2"/>
        <v>535.58149837203393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535.58149837203393</v>
      </c>
    </row>
    <row r="25" spans="1:17">
      <c r="A25" s="448" t="s">
        <v>111</v>
      </c>
      <c r="B25" s="449">
        <f t="shared" ca="1" si="2"/>
        <v>757.65417358393097</v>
      </c>
      <c r="C25" s="449">
        <f t="shared" ca="1" si="3"/>
        <v>0</v>
      </c>
      <c r="D25" s="449">
        <f t="shared" si="4"/>
        <v>14.667850418554194</v>
      </c>
      <c r="E25" s="449">
        <f t="shared" si="5"/>
        <v>7.8594396098066346</v>
      </c>
      <c r="F25" s="449">
        <f t="shared" si="6"/>
        <v>3202.2588596408764</v>
      </c>
      <c r="G25" s="449">
        <f t="shared" si="7"/>
        <v>0</v>
      </c>
      <c r="H25" s="449">
        <f t="shared" si="8"/>
        <v>0</v>
      </c>
      <c r="I25" s="449">
        <f t="shared" si="9"/>
        <v>0</v>
      </c>
      <c r="J25" s="449">
        <f t="shared" si="10"/>
        <v>160.94369591200203</v>
      </c>
      <c r="K25" s="449">
        <f t="shared" si="11"/>
        <v>0</v>
      </c>
      <c r="L25" s="449">
        <f t="shared" si="12"/>
        <v>0</v>
      </c>
      <c r="M25" s="449">
        <f t="shared" si="13"/>
        <v>0</v>
      </c>
      <c r="N25" s="449">
        <f t="shared" si="14"/>
        <v>0</v>
      </c>
      <c r="O25" s="449">
        <f t="shared" si="15"/>
        <v>0</v>
      </c>
      <c r="P25" s="450">
        <f t="shared" si="16"/>
        <v>0</v>
      </c>
      <c r="Q25" s="448">
        <f t="shared" ca="1" si="17"/>
        <v>4143.3840191651698</v>
      </c>
    </row>
    <row r="26" spans="1:17">
      <c r="A26" s="448" t="s">
        <v>671</v>
      </c>
      <c r="B26" s="449">
        <f t="shared" ca="1" si="2"/>
        <v>17602.097138248861</v>
      </c>
      <c r="C26" s="449">
        <f t="shared" ca="1" si="3"/>
        <v>0</v>
      </c>
      <c r="D26" s="449">
        <f t="shared" si="4"/>
        <v>25555.466988939097</v>
      </c>
      <c r="E26" s="449">
        <f t="shared" si="5"/>
        <v>148.9046457333954</v>
      </c>
      <c r="F26" s="449">
        <f t="shared" si="6"/>
        <v>6680.4712755963783</v>
      </c>
      <c r="G26" s="449">
        <f t="shared" si="7"/>
        <v>0</v>
      </c>
      <c r="H26" s="449">
        <f t="shared" si="8"/>
        <v>0</v>
      </c>
      <c r="I26" s="449">
        <f t="shared" si="9"/>
        <v>0</v>
      </c>
      <c r="J26" s="449">
        <f t="shared" si="10"/>
        <v>92.879822367230773</v>
      </c>
      <c r="K26" s="449">
        <f t="shared" si="11"/>
        <v>0</v>
      </c>
      <c r="L26" s="449">
        <f t="shared" si="12"/>
        <v>0</v>
      </c>
      <c r="M26" s="449">
        <f t="shared" si="13"/>
        <v>0</v>
      </c>
      <c r="N26" s="449">
        <f t="shared" si="14"/>
        <v>0</v>
      </c>
      <c r="O26" s="449">
        <f t="shared" si="15"/>
        <v>0</v>
      </c>
      <c r="P26" s="450">
        <f t="shared" si="16"/>
        <v>0</v>
      </c>
      <c r="Q26" s="448">
        <f t="shared" ca="1" si="17"/>
        <v>50079.81987088496</v>
      </c>
    </row>
    <row r="27" spans="1:17" s="454" customFormat="1">
      <c r="A27" s="452" t="s">
        <v>568</v>
      </c>
      <c r="B27" s="760">
        <f t="shared" ca="1" si="2"/>
        <v>1.8961952500744326</v>
      </c>
      <c r="C27" s="453">
        <f t="shared" ca="1" si="3"/>
        <v>0</v>
      </c>
      <c r="D27" s="453">
        <f t="shared" si="4"/>
        <v>2.2834811009674345</v>
      </c>
      <c r="E27" s="453">
        <f t="shared" si="5"/>
        <v>184.5961466186447</v>
      </c>
      <c r="F27" s="453">
        <f t="shared" si="6"/>
        <v>0</v>
      </c>
      <c r="G27" s="453">
        <f t="shared" si="7"/>
        <v>52664.381491981512</v>
      </c>
      <c r="H27" s="453">
        <f t="shared" si="8"/>
        <v>6961.87741986539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59815.034734816589</v>
      </c>
    </row>
    <row r="28" spans="1:17">
      <c r="A28" s="448" t="s">
        <v>558</v>
      </c>
      <c r="B28" s="449">
        <f t="shared" ca="1" si="2"/>
        <v>1.5298232781914616</v>
      </c>
      <c r="C28" s="449">
        <f t="shared" ca="1" si="3"/>
        <v>0</v>
      </c>
      <c r="D28" s="449">
        <f t="shared" si="4"/>
        <v>0</v>
      </c>
      <c r="E28" s="449">
        <f t="shared" si="5"/>
        <v>0</v>
      </c>
      <c r="F28" s="449">
        <f t="shared" si="6"/>
        <v>0</v>
      </c>
      <c r="G28" s="449">
        <f t="shared" si="7"/>
        <v>395.18802137127955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396.71784464947103</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233.14013964278956</v>
      </c>
      <c r="C32" s="449">
        <f t="shared" ca="1" si="3"/>
        <v>0</v>
      </c>
      <c r="D32" s="449">
        <f t="shared" si="4"/>
        <v>1047.3783787242014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1280.518518366991</v>
      </c>
    </row>
    <row r="33" spans="1:17" s="461" customFormat="1">
      <c r="A33" s="458" t="s">
        <v>562</v>
      </c>
      <c r="B33" s="459">
        <f ca="1">SUM(B22:B32)</f>
        <v>39906.329433072882</v>
      </c>
      <c r="C33" s="459">
        <f t="shared" ref="C33:Q33" ca="1" si="18">SUM(C22:C32)</f>
        <v>0</v>
      </c>
      <c r="D33" s="459">
        <f t="shared" ca="1" si="18"/>
        <v>66576.630748387601</v>
      </c>
      <c r="E33" s="459">
        <f t="shared" si="18"/>
        <v>851.9669052750321</v>
      </c>
      <c r="F33" s="459">
        <f t="shared" ca="1" si="18"/>
        <v>27516.030454226966</v>
      </c>
      <c r="G33" s="459">
        <f t="shared" si="18"/>
        <v>53059.569513352792</v>
      </c>
      <c r="H33" s="459">
        <f t="shared" si="18"/>
        <v>6961.87741986539</v>
      </c>
      <c r="I33" s="459">
        <f t="shared" si="18"/>
        <v>0</v>
      </c>
      <c r="J33" s="459">
        <f t="shared" si="18"/>
        <v>618.25761827249892</v>
      </c>
      <c r="K33" s="459">
        <f t="shared" si="18"/>
        <v>0</v>
      </c>
      <c r="L33" s="459">
        <f t="shared" ca="1" si="18"/>
        <v>0</v>
      </c>
      <c r="M33" s="459">
        <f t="shared" si="18"/>
        <v>0</v>
      </c>
      <c r="N33" s="459">
        <f t="shared" ca="1" si="18"/>
        <v>0</v>
      </c>
      <c r="O33" s="459">
        <f t="shared" si="18"/>
        <v>0</v>
      </c>
      <c r="P33" s="459">
        <f t="shared" si="18"/>
        <v>0</v>
      </c>
      <c r="Q33" s="459">
        <f t="shared" ca="1" si="18"/>
        <v>195490.66209245319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13005.792835278469</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13005.792835278469</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0.20615177943770271</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0.20615177943770271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0.20615177943770271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0.20615177943770271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12752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1857</v>
      </c>
      <c r="C14" s="327"/>
      <c r="D14" s="327"/>
      <c r="E14" s="327"/>
      <c r="F14" s="327"/>
    </row>
    <row r="15" spans="1:6">
      <c r="A15" s="1295" t="s">
        <v>183</v>
      </c>
      <c r="B15" s="1296">
        <v>22</v>
      </c>
      <c r="C15" s="327"/>
      <c r="D15" s="327"/>
      <c r="E15" s="327"/>
      <c r="F15" s="327"/>
    </row>
    <row r="16" spans="1:6">
      <c r="A16" s="1295" t="s">
        <v>6</v>
      </c>
      <c r="B16" s="1296">
        <v>849</v>
      </c>
      <c r="C16" s="327"/>
      <c r="D16" s="327"/>
      <c r="E16" s="327"/>
      <c r="F16" s="327"/>
    </row>
    <row r="17" spans="1:6">
      <c r="A17" s="1295" t="s">
        <v>7</v>
      </c>
      <c r="B17" s="1296">
        <v>423</v>
      </c>
      <c r="C17" s="327"/>
      <c r="D17" s="327"/>
      <c r="E17" s="327"/>
      <c r="F17" s="327"/>
    </row>
    <row r="18" spans="1:6">
      <c r="A18" s="1295" t="s">
        <v>8</v>
      </c>
      <c r="B18" s="1296">
        <v>858</v>
      </c>
      <c r="C18" s="327"/>
      <c r="D18" s="327"/>
      <c r="E18" s="327"/>
      <c r="F18" s="327"/>
    </row>
    <row r="19" spans="1:6">
      <c r="A19" s="1295" t="s">
        <v>9</v>
      </c>
      <c r="B19" s="1296">
        <v>916</v>
      </c>
      <c r="C19" s="327"/>
      <c r="D19" s="327"/>
      <c r="E19" s="327"/>
      <c r="F19" s="327"/>
    </row>
    <row r="20" spans="1:6">
      <c r="A20" s="1295" t="s">
        <v>10</v>
      </c>
      <c r="B20" s="1296">
        <v>609</v>
      </c>
      <c r="C20" s="327"/>
      <c r="D20" s="327"/>
      <c r="E20" s="327"/>
      <c r="F20" s="327"/>
    </row>
    <row r="21" spans="1:6">
      <c r="A21" s="1295" t="s">
        <v>11</v>
      </c>
      <c r="B21" s="1296">
        <v>5900</v>
      </c>
      <c r="C21" s="327"/>
      <c r="D21" s="327"/>
      <c r="E21" s="327"/>
      <c r="F21" s="327"/>
    </row>
    <row r="22" spans="1:6">
      <c r="A22" s="1295" t="s">
        <v>12</v>
      </c>
      <c r="B22" s="1296">
        <v>27183</v>
      </c>
      <c r="C22" s="327"/>
      <c r="D22" s="327"/>
      <c r="E22" s="327"/>
      <c r="F22" s="327"/>
    </row>
    <row r="23" spans="1:6">
      <c r="A23" s="1295" t="s">
        <v>13</v>
      </c>
      <c r="B23" s="1296">
        <v>315</v>
      </c>
      <c r="C23" s="327"/>
      <c r="D23" s="327"/>
      <c r="E23" s="327"/>
      <c r="F23" s="327"/>
    </row>
    <row r="24" spans="1:6">
      <c r="A24" s="1295" t="s">
        <v>14</v>
      </c>
      <c r="B24" s="1296">
        <v>40</v>
      </c>
      <c r="C24" s="327"/>
      <c r="D24" s="327"/>
      <c r="E24" s="327"/>
      <c r="F24" s="327"/>
    </row>
    <row r="25" spans="1:6">
      <c r="A25" s="1295" t="s">
        <v>15</v>
      </c>
      <c r="B25" s="1296">
        <v>1608</v>
      </c>
      <c r="C25" s="327"/>
      <c r="D25" s="327"/>
      <c r="E25" s="327"/>
      <c r="F25" s="327"/>
    </row>
    <row r="26" spans="1:6">
      <c r="A26" s="1295" t="s">
        <v>16</v>
      </c>
      <c r="B26" s="1296">
        <v>80</v>
      </c>
      <c r="C26" s="327"/>
      <c r="D26" s="327"/>
      <c r="E26" s="327"/>
      <c r="F26" s="327"/>
    </row>
    <row r="27" spans="1:6">
      <c r="A27" s="1295" t="s">
        <v>17</v>
      </c>
      <c r="B27" s="1296">
        <v>0</v>
      </c>
      <c r="C27" s="327"/>
      <c r="D27" s="327"/>
      <c r="E27" s="327"/>
      <c r="F27" s="327"/>
    </row>
    <row r="28" spans="1:6" s="44" customFormat="1">
      <c r="A28" s="1297" t="s">
        <v>18</v>
      </c>
      <c r="B28" s="1298">
        <v>42217</v>
      </c>
      <c r="C28" s="333"/>
      <c r="D28" s="333"/>
      <c r="E28" s="333"/>
      <c r="F28" s="333"/>
    </row>
    <row r="29" spans="1:6">
      <c r="A29" s="1297" t="s">
        <v>961</v>
      </c>
      <c r="B29" s="1298">
        <v>55</v>
      </c>
      <c r="C29" s="333"/>
      <c r="D29" s="333"/>
      <c r="E29" s="333"/>
      <c r="F29" s="333"/>
    </row>
    <row r="30" spans="1:6">
      <c r="A30" s="1290" t="s">
        <v>962</v>
      </c>
      <c r="B30" s="1299">
        <v>25</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3</v>
      </c>
      <c r="F35" s="1296">
        <v>40500</v>
      </c>
    </row>
    <row r="36" spans="1:6">
      <c r="A36" s="1295" t="s">
        <v>24</v>
      </c>
      <c r="B36" s="1295" t="s">
        <v>26</v>
      </c>
      <c r="C36" s="1296">
        <v>0</v>
      </c>
      <c r="D36" s="1296">
        <v>0</v>
      </c>
      <c r="E36" s="1296">
        <v>5</v>
      </c>
      <c r="F36" s="1296">
        <v>69648</v>
      </c>
    </row>
    <row r="37" spans="1:6">
      <c r="A37" s="1295" t="s">
        <v>24</v>
      </c>
      <c r="B37" s="1295" t="s">
        <v>27</v>
      </c>
      <c r="C37" s="1296">
        <v>0</v>
      </c>
      <c r="D37" s="1296">
        <v>0</v>
      </c>
      <c r="E37" s="1296">
        <v>0</v>
      </c>
      <c r="F37" s="1296">
        <v>0</v>
      </c>
    </row>
    <row r="38" spans="1:6">
      <c r="A38" s="1295" t="s">
        <v>24</v>
      </c>
      <c r="B38" s="1295" t="s">
        <v>28</v>
      </c>
      <c r="C38" s="1296">
        <v>2</v>
      </c>
      <c r="D38" s="1296">
        <v>30580.551990035001</v>
      </c>
      <c r="E38" s="1296">
        <v>0</v>
      </c>
      <c r="F38" s="1296">
        <v>0</v>
      </c>
    </row>
    <row r="39" spans="1:6">
      <c r="A39" s="1295" t="s">
        <v>29</v>
      </c>
      <c r="B39" s="1295" t="s">
        <v>30</v>
      </c>
      <c r="C39" s="1296">
        <v>9641</v>
      </c>
      <c r="D39" s="1296">
        <v>165354659.79708901</v>
      </c>
      <c r="E39" s="1296">
        <v>12759</v>
      </c>
      <c r="F39" s="1296">
        <v>48825033.801110998</v>
      </c>
    </row>
    <row r="40" spans="1:6">
      <c r="A40" s="1295" t="s">
        <v>29</v>
      </c>
      <c r="B40" s="1295" t="s">
        <v>28</v>
      </c>
      <c r="C40" s="1296">
        <v>0</v>
      </c>
      <c r="D40" s="1296">
        <v>0</v>
      </c>
      <c r="E40" s="1296">
        <v>1</v>
      </c>
      <c r="F40" s="1296">
        <v>13365</v>
      </c>
    </row>
    <row r="41" spans="1:6">
      <c r="A41" s="1295" t="s">
        <v>31</v>
      </c>
      <c r="B41" s="1295" t="s">
        <v>32</v>
      </c>
      <c r="C41" s="1296">
        <v>133</v>
      </c>
      <c r="D41" s="1296">
        <v>12149843.5801952</v>
      </c>
      <c r="E41" s="1296">
        <v>328</v>
      </c>
      <c r="F41" s="1296">
        <v>23700388</v>
      </c>
    </row>
    <row r="42" spans="1:6">
      <c r="A42" s="1295" t="s">
        <v>31</v>
      </c>
      <c r="B42" s="1295" t="s">
        <v>33</v>
      </c>
      <c r="C42" s="1296">
        <v>0</v>
      </c>
      <c r="D42" s="1296">
        <v>0</v>
      </c>
      <c r="E42" s="1296">
        <v>3</v>
      </c>
      <c r="F42" s="1296">
        <v>5209353</v>
      </c>
    </row>
    <row r="43" spans="1:6">
      <c r="A43" s="1295" t="s">
        <v>31</v>
      </c>
      <c r="B43" s="1295" t="s">
        <v>34</v>
      </c>
      <c r="C43" s="1296">
        <v>0</v>
      </c>
      <c r="D43" s="1296">
        <v>0</v>
      </c>
      <c r="E43" s="1296">
        <v>0</v>
      </c>
      <c r="F43" s="1296">
        <v>0</v>
      </c>
    </row>
    <row r="44" spans="1:6">
      <c r="A44" s="1295" t="s">
        <v>31</v>
      </c>
      <c r="B44" s="1295" t="s">
        <v>35</v>
      </c>
      <c r="C44" s="1296">
        <v>19</v>
      </c>
      <c r="D44" s="1296">
        <v>7661927.3806435904</v>
      </c>
      <c r="E44" s="1296">
        <v>75</v>
      </c>
      <c r="F44" s="1296">
        <v>14170680</v>
      </c>
    </row>
    <row r="45" spans="1:6">
      <c r="A45" s="1295" t="s">
        <v>31</v>
      </c>
      <c r="B45" s="1295" t="s">
        <v>36</v>
      </c>
      <c r="C45" s="1296">
        <v>0</v>
      </c>
      <c r="D45" s="1296">
        <v>0</v>
      </c>
      <c r="E45" s="1296">
        <v>11</v>
      </c>
      <c r="F45" s="1296">
        <v>645541</v>
      </c>
    </row>
    <row r="46" spans="1:6">
      <c r="A46" s="1295" t="s">
        <v>31</v>
      </c>
      <c r="B46" s="1295" t="s">
        <v>37</v>
      </c>
      <c r="C46" s="1296">
        <v>0</v>
      </c>
      <c r="D46" s="1296">
        <v>0</v>
      </c>
      <c r="E46" s="1296">
        <v>0</v>
      </c>
      <c r="F46" s="1296">
        <v>0</v>
      </c>
    </row>
    <row r="47" spans="1:6">
      <c r="A47" s="1295" t="s">
        <v>31</v>
      </c>
      <c r="B47" s="1295" t="s">
        <v>38</v>
      </c>
      <c r="C47" s="1296">
        <v>4</v>
      </c>
      <c r="D47" s="1296">
        <v>143900.621465373</v>
      </c>
      <c r="E47" s="1296">
        <v>12</v>
      </c>
      <c r="F47" s="1296">
        <v>1596850</v>
      </c>
    </row>
    <row r="48" spans="1:6">
      <c r="A48" s="1295" t="s">
        <v>31</v>
      </c>
      <c r="B48" s="1295" t="s">
        <v>28</v>
      </c>
      <c r="C48" s="1296">
        <v>61</v>
      </c>
      <c r="D48" s="1296">
        <v>82052896.515000194</v>
      </c>
      <c r="E48" s="1296">
        <v>5</v>
      </c>
      <c r="F48" s="1296">
        <v>4654069</v>
      </c>
    </row>
    <row r="49" spans="1:6">
      <c r="A49" s="1295" t="s">
        <v>31</v>
      </c>
      <c r="B49" s="1295" t="s">
        <v>39</v>
      </c>
      <c r="C49" s="1296">
        <v>9</v>
      </c>
      <c r="D49" s="1296">
        <v>36222150.053347901</v>
      </c>
      <c r="E49" s="1296">
        <v>41</v>
      </c>
      <c r="F49" s="1296">
        <v>13972989</v>
      </c>
    </row>
    <row r="50" spans="1:6">
      <c r="A50" s="1295" t="s">
        <v>31</v>
      </c>
      <c r="B50" s="1295" t="s">
        <v>40</v>
      </c>
      <c r="C50" s="1296">
        <v>22</v>
      </c>
      <c r="D50" s="1296">
        <v>2026723.99627699</v>
      </c>
      <c r="E50" s="1296">
        <v>56</v>
      </c>
      <c r="F50" s="1296">
        <v>21434293</v>
      </c>
    </row>
    <row r="51" spans="1:6">
      <c r="A51" s="1295" t="s">
        <v>41</v>
      </c>
      <c r="B51" s="1295" t="s">
        <v>42</v>
      </c>
      <c r="C51" s="1296">
        <v>3</v>
      </c>
      <c r="D51" s="1296">
        <v>49522.0323053916</v>
      </c>
      <c r="E51" s="1296">
        <v>89</v>
      </c>
      <c r="F51" s="1296">
        <v>3663310</v>
      </c>
    </row>
    <row r="52" spans="1:6">
      <c r="A52" s="1295" t="s">
        <v>41</v>
      </c>
      <c r="B52" s="1295" t="s">
        <v>28</v>
      </c>
      <c r="C52" s="1296">
        <v>2</v>
      </c>
      <c r="D52" s="1296">
        <v>30980.319007171202</v>
      </c>
      <c r="E52" s="1296">
        <v>1</v>
      </c>
      <c r="F52" s="1296">
        <v>11915</v>
      </c>
    </row>
    <row r="53" spans="1:6">
      <c r="A53" s="1295" t="s">
        <v>43</v>
      </c>
      <c r="B53" s="1295" t="s">
        <v>44</v>
      </c>
      <c r="C53" s="1296">
        <v>240</v>
      </c>
      <c r="D53" s="1296">
        <v>5185041.4788326798</v>
      </c>
      <c r="E53" s="1296">
        <v>1</v>
      </c>
      <c r="F53" s="1296">
        <v>538</v>
      </c>
    </row>
    <row r="54" spans="1:6">
      <c r="A54" s="1295" t="s">
        <v>45</v>
      </c>
      <c r="B54" s="1295" t="s">
        <v>46</v>
      </c>
      <c r="C54" s="1296">
        <v>0</v>
      </c>
      <c r="D54" s="1296">
        <v>0</v>
      </c>
      <c r="E54" s="1296">
        <v>151</v>
      </c>
      <c r="F54" s="1296">
        <v>2597996</v>
      </c>
    </row>
    <row r="55" spans="1:6">
      <c r="A55" s="1295" t="s">
        <v>45</v>
      </c>
      <c r="B55" s="1295" t="s">
        <v>28</v>
      </c>
      <c r="C55" s="1296">
        <v>0</v>
      </c>
      <c r="D55" s="1296">
        <v>0</v>
      </c>
      <c r="E55" s="1296">
        <v>0</v>
      </c>
      <c r="F55" s="1296">
        <v>0</v>
      </c>
    </row>
    <row r="56" spans="1:6">
      <c r="A56" s="1295" t="s">
        <v>47</v>
      </c>
      <c r="B56" s="1295" t="s">
        <v>28</v>
      </c>
      <c r="C56" s="1296">
        <v>0</v>
      </c>
      <c r="D56" s="1296">
        <v>0</v>
      </c>
      <c r="E56" s="1296">
        <v>164</v>
      </c>
      <c r="F56" s="1296">
        <v>1130377</v>
      </c>
    </row>
    <row r="57" spans="1:6">
      <c r="A57" s="1295" t="s">
        <v>48</v>
      </c>
      <c r="B57" s="1295" t="s">
        <v>49</v>
      </c>
      <c r="C57" s="1296">
        <v>113</v>
      </c>
      <c r="D57" s="1296">
        <v>11671164.7511122</v>
      </c>
      <c r="E57" s="1296">
        <v>157</v>
      </c>
      <c r="F57" s="1296">
        <v>6251335</v>
      </c>
    </row>
    <row r="58" spans="1:6">
      <c r="A58" s="1295" t="s">
        <v>48</v>
      </c>
      <c r="B58" s="1295" t="s">
        <v>50</v>
      </c>
      <c r="C58" s="1296">
        <v>17</v>
      </c>
      <c r="D58" s="1296">
        <v>473862.55938290799</v>
      </c>
      <c r="E58" s="1296">
        <v>33</v>
      </c>
      <c r="F58" s="1296">
        <v>1174373</v>
      </c>
    </row>
    <row r="59" spans="1:6">
      <c r="A59" s="1295" t="s">
        <v>48</v>
      </c>
      <c r="B59" s="1295" t="s">
        <v>51</v>
      </c>
      <c r="C59" s="1296">
        <v>241</v>
      </c>
      <c r="D59" s="1296">
        <v>15239012.6876326</v>
      </c>
      <c r="E59" s="1296">
        <v>488</v>
      </c>
      <c r="F59" s="1296">
        <v>21578525</v>
      </c>
    </row>
    <row r="60" spans="1:6">
      <c r="A60" s="1295" t="s">
        <v>48</v>
      </c>
      <c r="B60" s="1295" t="s">
        <v>52</v>
      </c>
      <c r="C60" s="1296">
        <v>86</v>
      </c>
      <c r="D60" s="1296">
        <v>7097170.5149858501</v>
      </c>
      <c r="E60" s="1296">
        <v>111</v>
      </c>
      <c r="F60" s="1296">
        <v>3793354</v>
      </c>
    </row>
    <row r="61" spans="1:6">
      <c r="A61" s="1295" t="s">
        <v>48</v>
      </c>
      <c r="B61" s="1295" t="s">
        <v>53</v>
      </c>
      <c r="C61" s="1296">
        <v>201</v>
      </c>
      <c r="D61" s="1296">
        <v>9276305.2837016899</v>
      </c>
      <c r="E61" s="1296">
        <v>513</v>
      </c>
      <c r="F61" s="1296">
        <v>13170370</v>
      </c>
    </row>
    <row r="62" spans="1:6">
      <c r="A62" s="1295" t="s">
        <v>48</v>
      </c>
      <c r="B62" s="1295" t="s">
        <v>54</v>
      </c>
      <c r="C62" s="1296">
        <v>15</v>
      </c>
      <c r="D62" s="1296">
        <v>1342305.3868399099</v>
      </c>
      <c r="E62" s="1296">
        <v>34</v>
      </c>
      <c r="F62" s="1296">
        <v>590089</v>
      </c>
    </row>
    <row r="63" spans="1:6">
      <c r="A63" s="1295" t="s">
        <v>48</v>
      </c>
      <c r="B63" s="1295" t="s">
        <v>28</v>
      </c>
      <c r="C63" s="1296">
        <v>110</v>
      </c>
      <c r="D63" s="1296">
        <v>8842757.5497205108</v>
      </c>
      <c r="E63" s="1296">
        <v>1</v>
      </c>
      <c r="F63" s="1296">
        <v>117243</v>
      </c>
    </row>
    <row r="64" spans="1:6">
      <c r="A64" s="1295" t="s">
        <v>55</v>
      </c>
      <c r="B64" s="1295" t="s">
        <v>56</v>
      </c>
      <c r="C64" s="1296">
        <v>0</v>
      </c>
      <c r="D64" s="1296">
        <v>0</v>
      </c>
      <c r="E64" s="1296">
        <v>7</v>
      </c>
      <c r="F64" s="1296">
        <v>109470</v>
      </c>
    </row>
    <row r="65" spans="1:6">
      <c r="A65" s="1295" t="s">
        <v>55</v>
      </c>
      <c r="B65" s="1295" t="s">
        <v>28</v>
      </c>
      <c r="C65" s="1296">
        <v>4</v>
      </c>
      <c r="D65" s="1296">
        <v>234306.47168511999</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17</v>
      </c>
      <c r="F68" s="1299">
        <v>364574</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30350767</v>
      </c>
      <c r="E73" s="447"/>
      <c r="F73" s="327"/>
    </row>
    <row r="74" spans="1:6">
      <c r="A74" s="1295" t="s">
        <v>63</v>
      </c>
      <c r="B74" s="1295" t="s">
        <v>755</v>
      </c>
      <c r="C74" s="1309" t="s">
        <v>749</v>
      </c>
      <c r="D74" s="1310">
        <v>3261585.2811942366</v>
      </c>
      <c r="E74" s="447"/>
      <c r="F74" s="327"/>
    </row>
    <row r="75" spans="1:6">
      <c r="A75" s="1295" t="s">
        <v>64</v>
      </c>
      <c r="B75" s="1295" t="s">
        <v>754</v>
      </c>
      <c r="C75" s="1309" t="s">
        <v>750</v>
      </c>
      <c r="D75" s="1310">
        <v>47840713</v>
      </c>
      <c r="E75" s="447"/>
      <c r="F75" s="327"/>
    </row>
    <row r="76" spans="1:6">
      <c r="A76" s="1295" t="s">
        <v>64</v>
      </c>
      <c r="B76" s="1295" t="s">
        <v>755</v>
      </c>
      <c r="C76" s="1309" t="s">
        <v>751</v>
      </c>
      <c r="D76" s="1310">
        <v>1224724.2811942368</v>
      </c>
      <c r="E76" s="447"/>
      <c r="F76" s="327"/>
    </row>
    <row r="77" spans="1:6">
      <c r="A77" s="1295" t="s">
        <v>65</v>
      </c>
      <c r="B77" s="1295" t="s">
        <v>754</v>
      </c>
      <c r="C77" s="1309" t="s">
        <v>752</v>
      </c>
      <c r="D77" s="1310">
        <v>138754237</v>
      </c>
      <c r="E77" s="447"/>
      <c r="F77" s="327"/>
    </row>
    <row r="78" spans="1:6">
      <c r="A78" s="1290" t="s">
        <v>65</v>
      </c>
      <c r="B78" s="1290" t="s">
        <v>755</v>
      </c>
      <c r="C78" s="1290" t="s">
        <v>753</v>
      </c>
      <c r="D78" s="1311">
        <v>25615104</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408837.43761152646</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5258.8135149634827</v>
      </c>
      <c r="C91" s="327"/>
      <c r="D91" s="327"/>
      <c r="E91" s="327"/>
      <c r="F91" s="327"/>
    </row>
    <row r="92" spans="1:6">
      <c r="A92" s="1290" t="s">
        <v>68</v>
      </c>
      <c r="B92" s="1291">
        <v>7746.9793203149857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7206</v>
      </c>
      <c r="C97" s="327"/>
      <c r="D97" s="327"/>
      <c r="E97" s="327"/>
      <c r="F97" s="327"/>
    </row>
    <row r="98" spans="1:6">
      <c r="A98" s="1295" t="s">
        <v>71</v>
      </c>
      <c r="B98" s="1296">
        <v>0</v>
      </c>
      <c r="C98" s="327"/>
      <c r="D98" s="327"/>
      <c r="E98" s="327"/>
      <c r="F98" s="327"/>
    </row>
    <row r="99" spans="1:6">
      <c r="A99" s="1295" t="s">
        <v>72</v>
      </c>
      <c r="B99" s="1296">
        <v>187</v>
      </c>
      <c r="C99" s="327"/>
      <c r="D99" s="327"/>
      <c r="E99" s="327"/>
      <c r="F99" s="327"/>
    </row>
    <row r="100" spans="1:6">
      <c r="A100" s="1295" t="s">
        <v>73</v>
      </c>
      <c r="B100" s="1296">
        <v>935</v>
      </c>
      <c r="C100" s="327"/>
      <c r="D100" s="327"/>
      <c r="E100" s="327"/>
      <c r="F100" s="327"/>
    </row>
    <row r="101" spans="1:6">
      <c r="A101" s="1295" t="s">
        <v>74</v>
      </c>
      <c r="B101" s="1296">
        <v>152</v>
      </c>
      <c r="C101" s="327"/>
      <c r="D101" s="327"/>
      <c r="E101" s="327"/>
      <c r="F101" s="327"/>
    </row>
    <row r="102" spans="1:6">
      <c r="A102" s="1295" t="s">
        <v>75</v>
      </c>
      <c r="B102" s="1296">
        <v>190</v>
      </c>
      <c r="C102" s="327"/>
      <c r="D102" s="327"/>
      <c r="E102" s="327"/>
      <c r="F102" s="327"/>
    </row>
    <row r="103" spans="1:6">
      <c r="A103" s="1295" t="s">
        <v>76</v>
      </c>
      <c r="B103" s="1296">
        <v>354</v>
      </c>
      <c r="C103" s="327"/>
      <c r="D103" s="327"/>
      <c r="E103" s="327"/>
      <c r="F103" s="327"/>
    </row>
    <row r="104" spans="1:6">
      <c r="A104" s="1295" t="s">
        <v>77</v>
      </c>
      <c r="B104" s="1296">
        <v>2758</v>
      </c>
      <c r="C104" s="327"/>
      <c r="D104" s="327"/>
      <c r="E104" s="327"/>
      <c r="F104" s="327"/>
    </row>
    <row r="105" spans="1:6">
      <c r="A105" s="1290" t="s">
        <v>78</v>
      </c>
      <c r="B105" s="1299">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8</v>
      </c>
      <c r="C123" s="1296">
        <v>6</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68</v>
      </c>
      <c r="C129" s="327"/>
      <c r="D129" s="327"/>
      <c r="E129" s="327"/>
      <c r="F129" s="327"/>
    </row>
    <row r="130" spans="1:6">
      <c r="A130" s="1295" t="s">
        <v>290</v>
      </c>
      <c r="B130" s="1296">
        <v>3</v>
      </c>
      <c r="C130" s="327"/>
      <c r="D130" s="327"/>
      <c r="E130" s="327"/>
      <c r="F130" s="327"/>
    </row>
    <row r="131" spans="1:6">
      <c r="A131" s="1295" t="s">
        <v>291</v>
      </c>
      <c r="B131" s="1296">
        <v>5</v>
      </c>
      <c r="C131" s="327"/>
      <c r="D131" s="327"/>
      <c r="E131" s="327"/>
      <c r="F131" s="327"/>
    </row>
    <row r="132" spans="1:6">
      <c r="A132" s="1290" t="s">
        <v>292</v>
      </c>
      <c r="B132" s="1291">
        <v>7</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193577.41922927334</v>
      </c>
      <c r="C3" s="44" t="s">
        <v>169</v>
      </c>
      <c r="D3" s="44"/>
      <c r="E3" s="157"/>
      <c r="F3" s="44"/>
      <c r="G3" s="44"/>
      <c r="H3" s="44"/>
      <c r="I3" s="44"/>
      <c r="J3" s="44"/>
      <c r="K3" s="97"/>
    </row>
    <row r="4" spans="1:11">
      <c r="A4" s="354" t="s">
        <v>170</v>
      </c>
      <c r="B4" s="50">
        <f>IF(ISERROR('SEAP template'!B78+'SEAP template'!C78),0,'SEAP template'!B78+'SEAP template'!C78)</f>
        <v>13005.792835278469</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0.20615177943770271</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2597.9960000000001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2597.9960000000001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0.20615177943770271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535.58149837203393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48838.398801110998</v>
      </c>
      <c r="C5" s="18">
        <f>IF(ISERROR('Eigen informatie GS &amp; warmtenet'!B57),0,'Eigen informatie GS &amp; warmtenet'!B57)</f>
        <v>0</v>
      </c>
      <c r="D5" s="31">
        <f>(SUM(HH_hh_gas_kWh,HH_rest_gas_kWh)/1000)*0.902</f>
        <v>149149.90313697429</v>
      </c>
      <c r="E5" s="18">
        <f>B32*B41</f>
        <v>1861.0200158543437</v>
      </c>
      <c r="F5" s="18">
        <f>B36*B45</f>
        <v>56737.097191688474</v>
      </c>
      <c r="G5" s="19"/>
      <c r="H5" s="18"/>
      <c r="I5" s="18"/>
      <c r="J5" s="18">
        <f>B35*B44+C35*C44</f>
        <v>1029.47485873804</v>
      </c>
      <c r="K5" s="18"/>
      <c r="L5" s="18"/>
      <c r="M5" s="18"/>
      <c r="N5" s="18">
        <f>B34*B43+C34*C43</f>
        <v>17609.834878547015</v>
      </c>
      <c r="O5" s="18">
        <f>B52*B53*B54</f>
        <v>115.68666666666667</v>
      </c>
      <c r="P5" s="18">
        <f>B60*B61*B62/1000-B60*B61*B62/1000/B63</f>
        <v>286</v>
      </c>
    </row>
    <row r="6" spans="1:16">
      <c r="A6" s="17" t="s">
        <v>628</v>
      </c>
      <c r="B6" s="768">
        <f>kWh_PV_kleiner_dan_10kW</f>
        <v>5258.8135149634827</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54097.212316074481</v>
      </c>
      <c r="C8" s="22">
        <f>C5</f>
        <v>0</v>
      </c>
      <c r="D8" s="22">
        <f>D5</f>
        <v>149149.90313697429</v>
      </c>
      <c r="E8" s="22">
        <f>E5</f>
        <v>1861.0200158543437</v>
      </c>
      <c r="F8" s="22">
        <f>F5</f>
        <v>56737.097191688474</v>
      </c>
      <c r="G8" s="22"/>
      <c r="H8" s="22"/>
      <c r="I8" s="22"/>
      <c r="J8" s="22">
        <f>J5</f>
        <v>1029.47485873804</v>
      </c>
      <c r="K8" s="22"/>
      <c r="L8" s="22">
        <f>L5</f>
        <v>0</v>
      </c>
      <c r="M8" s="22">
        <f>M5</f>
        <v>0</v>
      </c>
      <c r="N8" s="22">
        <f>N5</f>
        <v>17609.834878547015</v>
      </c>
      <c r="O8" s="22">
        <f>O5</f>
        <v>115.68666666666667</v>
      </c>
      <c r="P8" s="22">
        <f>P5</f>
        <v>286</v>
      </c>
    </row>
    <row r="9" spans="1:16">
      <c r="B9" s="20"/>
      <c r="C9" s="20"/>
      <c r="D9" s="258"/>
      <c r="E9" s="20"/>
      <c r="F9" s="20"/>
      <c r="G9" s="20"/>
      <c r="H9" s="20"/>
      <c r="I9" s="20"/>
      <c r="J9" s="20"/>
      <c r="K9" s="20"/>
      <c r="L9" s="20"/>
      <c r="M9" s="20"/>
      <c r="N9" s="20"/>
      <c r="O9" s="20"/>
      <c r="P9" s="20"/>
    </row>
    <row r="10" spans="1:16">
      <c r="A10" s="25" t="s">
        <v>213</v>
      </c>
      <c r="B10" s="26">
        <f ca="1">'EF ele_warmte'!B12</f>
        <v>0.20615177943770271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11152.236581577961</v>
      </c>
      <c r="C12" s="24">
        <f ca="1">C10*C8</f>
        <v>0</v>
      </c>
      <c r="D12" s="24">
        <f>D8*D10</f>
        <v>30128.28043366881</v>
      </c>
      <c r="E12" s="24">
        <f>E10*E8</f>
        <v>422.45154359893604</v>
      </c>
      <c r="F12" s="24">
        <f>F10*F8</f>
        <v>15148.804950180824</v>
      </c>
      <c r="G12" s="24"/>
      <c r="H12" s="24"/>
      <c r="I12" s="24"/>
      <c r="J12" s="24">
        <f>J10*J8</f>
        <v>364.43409999326616</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12752</v>
      </c>
      <c r="C26" s="37"/>
      <c r="D26" s="228"/>
    </row>
    <row r="27" spans="1:5" s="16" customFormat="1">
      <c r="A27" s="230" t="s">
        <v>654</v>
      </c>
      <c r="B27" s="38">
        <f>SUM(HH_hh_gas_aantal,HH_rest_gas_aantal)</f>
        <v>9641</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9158.9500000000007</v>
      </c>
      <c r="C31" s="35" t="s">
        <v>110</v>
      </c>
      <c r="D31" s="174"/>
    </row>
    <row r="32" spans="1:5">
      <c r="A32" s="171" t="s">
        <v>72</v>
      </c>
      <c r="B32" s="34">
        <f>IF((B21*($B$26-($B$27-0.05*$B$27)-$B$60))&lt;0,0,B21*($B$26-($B$27-0.05*$B$27)-$B$60))</f>
        <v>87.931761540151797</v>
      </c>
      <c r="C32" s="35" t="s">
        <v>110</v>
      </c>
      <c r="D32" s="174"/>
    </row>
    <row r="33" spans="1:6">
      <c r="A33" s="171" t="s">
        <v>73</v>
      </c>
      <c r="B33" s="34">
        <f>IF((B22*($B$26-($B$27-0.05*$B$27)-$B$60))&lt;0,0,B22*($B$26-($B$27-0.05*$B$27)-$B$60))</f>
        <v>591.88388500900328</v>
      </c>
      <c r="C33" s="35" t="s">
        <v>110</v>
      </c>
      <c r="D33" s="174"/>
    </row>
    <row r="34" spans="1:6">
      <c r="A34" s="171" t="s">
        <v>74</v>
      </c>
      <c r="B34" s="34">
        <f>IF((B24*($B$26-($B$27-0.05*$B$27)-$B$60))&lt;0,0,B24*($B$26-($B$27-0.05*$B$27)-$B$60))</f>
        <v>150.11422902014377</v>
      </c>
      <c r="C34" s="34">
        <f>B26*C24</f>
        <v>2607.8136824360095</v>
      </c>
      <c r="D34" s="233"/>
    </row>
    <row r="35" spans="1:6">
      <c r="A35" s="171" t="s">
        <v>76</v>
      </c>
      <c r="B35" s="34">
        <f>IF((B19*($B$26-($B$27-0.05*$B$27)-$B$60))&lt;0,0,B19*($B$26-($B$27-0.05*$B$27)-$B$60))</f>
        <v>55.807719849917333</v>
      </c>
      <c r="C35" s="34">
        <f>B35/2</f>
        <v>27.903859924958667</v>
      </c>
      <c r="D35" s="233"/>
    </row>
    <row r="36" spans="1:6">
      <c r="A36" s="171" t="s">
        <v>77</v>
      </c>
      <c r="B36" s="34">
        <f>IF((B18*($B$26-($B$27-0.05*$B$27)-$B$60))&lt;0,0,B18*($B$26-($B$27-0.05*$B$27)-$B$60))</f>
        <v>2692.3124045807822</v>
      </c>
      <c r="C36" s="35" t="s">
        <v>110</v>
      </c>
      <c r="D36" s="174"/>
    </row>
    <row r="37" spans="1:6">
      <c r="A37" s="171" t="s">
        <v>78</v>
      </c>
      <c r="B37" s="34">
        <f>B60</f>
        <v>15</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74</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15</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46675.289000000004</v>
      </c>
      <c r="C5" s="18">
        <f>IF(ISERROR('Eigen informatie GS &amp; warmtenet'!B58),0,'Eigen informatie GS &amp; warmtenet'!B58)</f>
        <v>0</v>
      </c>
      <c r="D5" s="31">
        <f>SUM(D6:D12)</f>
        <v>48656.206017504854</v>
      </c>
      <c r="E5" s="18">
        <f>SUM(E6:E12)</f>
        <v>388.34858904955655</v>
      </c>
      <c r="F5" s="18">
        <f>SUM(F6:F12)</f>
        <v>9305.2261004078246</v>
      </c>
      <c r="G5" s="19"/>
      <c r="H5" s="18"/>
      <c r="I5" s="18"/>
      <c r="J5" s="18">
        <f>SUM(J6:J12)</f>
        <v>0</v>
      </c>
      <c r="K5" s="18"/>
      <c r="L5" s="18"/>
      <c r="M5" s="18"/>
      <c r="N5" s="18">
        <f>SUM(N6:N12)</f>
        <v>3736.3105625097364</v>
      </c>
      <c r="O5" s="18">
        <f>B38*B39*B40</f>
        <v>4.6900000000000004</v>
      </c>
      <c r="P5" s="18">
        <f>B46*B47*B48/1000-B46*B47*B48/1000/B49</f>
        <v>95.333333333333343</v>
      </c>
      <c r="R5" s="33"/>
    </row>
    <row r="6" spans="1:18">
      <c r="A6" s="33" t="s">
        <v>53</v>
      </c>
      <c r="B6" s="38">
        <f>B26</f>
        <v>13170.37</v>
      </c>
      <c r="C6" s="34"/>
      <c r="D6" s="38">
        <f>IF(ISERROR(TER_kantoor_gas_kWh/1000),0,TER_kantoor_gas_kWh/1000)*0.902</f>
        <v>8367.2273658989234</v>
      </c>
      <c r="E6" s="34">
        <f>$C$26*'E Balans VL '!I12/100/3.6*1000000</f>
        <v>21.615246485921123</v>
      </c>
      <c r="F6" s="34">
        <f>$C$26*('E Balans VL '!L12+'E Balans VL '!N12)/100/3.6*1000000</f>
        <v>1552.4767410218997</v>
      </c>
      <c r="G6" s="35"/>
      <c r="H6" s="34"/>
      <c r="I6" s="34"/>
      <c r="J6" s="34">
        <f>$C$26*('E Balans VL '!D12+'E Balans VL '!E12)/100/3.6*1000000</f>
        <v>0</v>
      </c>
      <c r="K6" s="34"/>
      <c r="L6" s="34"/>
      <c r="M6" s="34"/>
      <c r="N6" s="34">
        <f>$C$26*'E Balans VL '!Y12/100/3.6*1000000</f>
        <v>2.6610108916922419</v>
      </c>
      <c r="O6" s="34"/>
      <c r="P6" s="34"/>
      <c r="R6" s="33"/>
    </row>
    <row r="7" spans="1:18">
      <c r="A7" s="33" t="s">
        <v>52</v>
      </c>
      <c r="B7" s="38">
        <f t="shared" ref="B7:B12" si="0">B27</f>
        <v>3793.3539999999998</v>
      </c>
      <c r="C7" s="34"/>
      <c r="D7" s="38">
        <f>IF(ISERROR(TER_horeca_gas_kWh/1000),0,TER_horeca_gas_kWh/1000)*0.902</f>
        <v>6401.6478045172371</v>
      </c>
      <c r="E7" s="34">
        <f>$C$27*'E Balans VL '!I9/100/3.6*1000000</f>
        <v>196.84762330306293</v>
      </c>
      <c r="F7" s="34">
        <f>$C$27*('E Balans VL '!L9+'E Balans VL '!N9)/100/3.6*1000000</f>
        <v>865.64613527130416</v>
      </c>
      <c r="G7" s="35"/>
      <c r="H7" s="34"/>
      <c r="I7" s="34"/>
      <c r="J7" s="34">
        <f>$C$27*('E Balans VL '!D9+'E Balans VL '!E9)/100/3.6*1000000</f>
        <v>0</v>
      </c>
      <c r="K7" s="34"/>
      <c r="L7" s="34"/>
      <c r="M7" s="34"/>
      <c r="N7" s="34">
        <f>$C$27*'E Balans VL '!Y9/100/3.6*1000000</f>
        <v>0.40057644401968845</v>
      </c>
      <c r="O7" s="34"/>
      <c r="P7" s="34"/>
      <c r="R7" s="33"/>
    </row>
    <row r="8" spans="1:18">
      <c r="A8" s="6" t="s">
        <v>51</v>
      </c>
      <c r="B8" s="38">
        <f t="shared" si="0"/>
        <v>21578.525000000001</v>
      </c>
      <c r="C8" s="34"/>
      <c r="D8" s="38">
        <f>IF(ISERROR(TER_handel_gas_kWh/1000),0,TER_handel_gas_kWh/1000)*0.902</f>
        <v>13745.589444244604</v>
      </c>
      <c r="E8" s="34">
        <f>$C$28*'E Balans VL '!I13/100/3.6*1000000</f>
        <v>116.20300877328992</v>
      </c>
      <c r="F8" s="34">
        <f>$C$28*('E Balans VL '!L13+'E Balans VL '!N13)/100/3.6*1000000</f>
        <v>4400.5025035071476</v>
      </c>
      <c r="G8" s="35"/>
      <c r="H8" s="34"/>
      <c r="I8" s="34"/>
      <c r="J8" s="34">
        <f>$C$28*('E Balans VL '!D13+'E Balans VL '!E13)/100/3.6*1000000</f>
        <v>0</v>
      </c>
      <c r="K8" s="34"/>
      <c r="L8" s="34"/>
      <c r="M8" s="34"/>
      <c r="N8" s="34">
        <f>$C$28*'E Balans VL '!Y13/100/3.6*1000000</f>
        <v>107.29860953242923</v>
      </c>
      <c r="O8" s="34"/>
      <c r="P8" s="34"/>
      <c r="R8" s="33"/>
    </row>
    <row r="9" spans="1:18">
      <c r="A9" s="33" t="s">
        <v>50</v>
      </c>
      <c r="B9" s="38">
        <f t="shared" si="0"/>
        <v>1174.373</v>
      </c>
      <c r="C9" s="34"/>
      <c r="D9" s="38">
        <f>IF(ISERROR(TER_gezond_gas_kWh/1000),0,TER_gezond_gas_kWh/1000)*0.902</f>
        <v>427.42402856338299</v>
      </c>
      <c r="E9" s="34">
        <f>$C$29*'E Balans VL '!I10/100/3.6*1000000</f>
        <v>1.1638169979144852</v>
      </c>
      <c r="F9" s="34">
        <f>$C$29*('E Balans VL '!L10+'E Balans VL '!N10)/100/3.6*1000000</f>
        <v>407.47358099690854</v>
      </c>
      <c r="G9" s="35"/>
      <c r="H9" s="34"/>
      <c r="I9" s="34"/>
      <c r="J9" s="34">
        <f>$C$29*('E Balans VL '!D10+'E Balans VL '!E10)/100/3.6*1000000</f>
        <v>0</v>
      </c>
      <c r="K9" s="34"/>
      <c r="L9" s="34"/>
      <c r="M9" s="34"/>
      <c r="N9" s="34">
        <f>$C$29*'E Balans VL '!Y10/100/3.6*1000000</f>
        <v>10.119470405554761</v>
      </c>
      <c r="O9" s="34"/>
      <c r="P9" s="34"/>
      <c r="R9" s="33"/>
    </row>
    <row r="10" spans="1:18">
      <c r="A10" s="33" t="s">
        <v>49</v>
      </c>
      <c r="B10" s="38">
        <f t="shared" si="0"/>
        <v>6251.335</v>
      </c>
      <c r="C10" s="34"/>
      <c r="D10" s="38">
        <f>IF(ISERROR(TER_ander_gas_kWh/1000),0,TER_ander_gas_kWh/1000)*0.902</f>
        <v>10527.390605503206</v>
      </c>
      <c r="E10" s="34">
        <f>$C$30*'E Balans VL '!I14/100/3.6*1000000</f>
        <v>51.142168064380236</v>
      </c>
      <c r="F10" s="34">
        <f>$C$30*('E Balans VL '!L14+'E Balans VL '!N14)/100/3.6*1000000</f>
        <v>1827.6358516115522</v>
      </c>
      <c r="G10" s="35"/>
      <c r="H10" s="34"/>
      <c r="I10" s="34"/>
      <c r="J10" s="34">
        <f>$C$30*('E Balans VL '!D14+'E Balans VL '!E14)/100/3.6*1000000</f>
        <v>0</v>
      </c>
      <c r="K10" s="34"/>
      <c r="L10" s="34"/>
      <c r="M10" s="34"/>
      <c r="N10" s="34">
        <f>$C$30*'E Balans VL '!Y14/100/3.6*1000000</f>
        <v>3606.2000505419128</v>
      </c>
      <c r="O10" s="34"/>
      <c r="P10" s="34"/>
      <c r="R10" s="33"/>
    </row>
    <row r="11" spans="1:18">
      <c r="A11" s="33" t="s">
        <v>54</v>
      </c>
      <c r="B11" s="38">
        <f t="shared" si="0"/>
        <v>590.08900000000006</v>
      </c>
      <c r="C11" s="34"/>
      <c r="D11" s="38">
        <f>IF(ISERROR(TER_onderwijs_gas_kWh/1000),0,TER_onderwijs_gas_kWh/1000)*0.902</f>
        <v>1210.7594589295988</v>
      </c>
      <c r="E11" s="34">
        <f>$C$31*'E Balans VL '!I11/100/3.6*1000000</f>
        <v>0.36370596127313881</v>
      </c>
      <c r="F11" s="34">
        <f>$C$31*('E Balans VL '!L11+'E Balans VL '!N11)/100/3.6*1000000</f>
        <v>228.13796369622128</v>
      </c>
      <c r="G11" s="35"/>
      <c r="H11" s="34"/>
      <c r="I11" s="34"/>
      <c r="J11" s="34">
        <f>$C$31*('E Balans VL '!D11+'E Balans VL '!E11)/100/3.6*1000000</f>
        <v>0</v>
      </c>
      <c r="K11" s="34"/>
      <c r="L11" s="34"/>
      <c r="M11" s="34"/>
      <c r="N11" s="34">
        <f>$C$31*'E Balans VL '!Y11/100/3.6*1000000</f>
        <v>1.9194330636272618</v>
      </c>
      <c r="O11" s="34"/>
      <c r="P11" s="34"/>
      <c r="R11" s="33"/>
    </row>
    <row r="12" spans="1:18">
      <c r="A12" s="33" t="s">
        <v>255</v>
      </c>
      <c r="B12" s="38">
        <f t="shared" si="0"/>
        <v>117.24299999999999</v>
      </c>
      <c r="C12" s="34"/>
      <c r="D12" s="38">
        <f>IF(ISERROR(TER_rest_gas_kWh/1000),0,TER_rest_gas_kWh/1000)*0.902</f>
        <v>7976.1673098479005</v>
      </c>
      <c r="E12" s="34">
        <f>$C$32*'E Balans VL '!I8/100/3.6*1000000</f>
        <v>1.0130194637147385</v>
      </c>
      <c r="F12" s="34">
        <f>$C$32*('E Balans VL '!L8+'E Balans VL '!N8)/100/3.6*1000000</f>
        <v>23.353324302792608</v>
      </c>
      <c r="G12" s="35"/>
      <c r="H12" s="34"/>
      <c r="I12" s="34"/>
      <c r="J12" s="34">
        <f>$C$32*('E Balans VL '!D8+'E Balans VL '!E8)/100/3.6*1000000</f>
        <v>0</v>
      </c>
      <c r="K12" s="34"/>
      <c r="L12" s="34"/>
      <c r="M12" s="34"/>
      <c r="N12" s="34">
        <f>$C$32*'E Balans VL '!Y8/100/3.6*1000000</f>
        <v>7.7114116305000069</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46675.289000000004</v>
      </c>
      <c r="C16" s="22">
        <f t="shared" ca="1" si="1"/>
        <v>0</v>
      </c>
      <c r="D16" s="22">
        <f t="shared" ca="1" si="1"/>
        <v>48656.206017504854</v>
      </c>
      <c r="E16" s="22">
        <f t="shared" si="1"/>
        <v>388.34858904955655</v>
      </c>
      <c r="F16" s="22">
        <f t="shared" ca="1" si="1"/>
        <v>9305.2261004078246</v>
      </c>
      <c r="G16" s="22">
        <f t="shared" si="1"/>
        <v>0</v>
      </c>
      <c r="H16" s="22">
        <f t="shared" si="1"/>
        <v>0</v>
      </c>
      <c r="I16" s="22">
        <f t="shared" si="1"/>
        <v>0</v>
      </c>
      <c r="J16" s="22">
        <f t="shared" si="1"/>
        <v>0</v>
      </c>
      <c r="K16" s="22">
        <f t="shared" si="1"/>
        <v>0</v>
      </c>
      <c r="L16" s="22">
        <f t="shared" ca="1" si="1"/>
        <v>0</v>
      </c>
      <c r="M16" s="22">
        <f t="shared" si="1"/>
        <v>0</v>
      </c>
      <c r="N16" s="22">
        <f t="shared" ca="1" si="1"/>
        <v>3736.3105625097364</v>
      </c>
      <c r="O16" s="22">
        <f>O5</f>
        <v>4.6900000000000004</v>
      </c>
      <c r="P16" s="22">
        <f>P5</f>
        <v>95.333333333333343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0.20615177943770271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9622.1938831190328</v>
      </c>
      <c r="C20" s="24">
        <f t="shared" ref="C20:P20" ca="1" si="2">C16*C18</f>
        <v>0</v>
      </c>
      <c r="D20" s="24">
        <f t="shared" ca="1" si="2"/>
        <v>9828.5536155359805</v>
      </c>
      <c r="E20" s="24">
        <f t="shared" si="2"/>
        <v>88.155129714249341</v>
      </c>
      <c r="F20" s="24">
        <f t="shared" ca="1" si="2"/>
        <v>2484.4953688088895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13170.37</v>
      </c>
      <c r="C26" s="40">
        <f>IF(ISERROR(B26*3.6/1000000/'E Balans VL '!Z12*100),0,B26*3.6/1000000/'E Balans VL '!Z12*100)</f>
        <v>0.27986091761881599</v>
      </c>
      <c r="D26" s="236" t="s">
        <v>691</v>
      </c>
      <c r="F26" s="6"/>
    </row>
    <row r="27" spans="1:18">
      <c r="A27" s="231" t="s">
        <v>52</v>
      </c>
      <c r="B27" s="34">
        <f>IF(ISERROR(TER_horeca_ele_kWh/1000),0,TER_horeca_ele_kWh/1000)</f>
        <v>3793.3539999999998</v>
      </c>
      <c r="C27" s="40">
        <f>IF(ISERROR(B27*3.6/1000000/'E Balans VL '!Z9*100),0,B27*3.6/1000000/'E Balans VL '!Z9*100)</f>
        <v>0.29856629367927096</v>
      </c>
      <c r="D27" s="236" t="s">
        <v>691</v>
      </c>
      <c r="F27" s="6"/>
    </row>
    <row r="28" spans="1:18">
      <c r="A28" s="171" t="s">
        <v>51</v>
      </c>
      <c r="B28" s="34">
        <f>IF(ISERROR(TER_handel_ele_kWh/1000),0,TER_handel_ele_kWh/1000)</f>
        <v>21578.525000000001</v>
      </c>
      <c r="C28" s="40">
        <f>IF(ISERROR(B28*3.6/1000000/'E Balans VL '!Z13*100),0,B28*3.6/1000000/'E Balans VL '!Z13*100)</f>
        <v>0.60442603362065361</v>
      </c>
      <c r="D28" s="236" t="s">
        <v>691</v>
      </c>
      <c r="F28" s="6"/>
    </row>
    <row r="29" spans="1:18">
      <c r="A29" s="231" t="s">
        <v>50</v>
      </c>
      <c r="B29" s="34">
        <f>IF(ISERROR(TER_gezond_ele_kWh/1000),0,TER_gezond_ele_kWh/1000)</f>
        <v>1174.373</v>
      </c>
      <c r="C29" s="40">
        <f>IF(ISERROR(B29*3.6/1000000/'E Balans VL '!Z10*100),0,B29*3.6/1000000/'E Balans VL '!Z10*100)</f>
        <v>0.15023781830931152</v>
      </c>
      <c r="D29" s="236" t="s">
        <v>691</v>
      </c>
      <c r="F29" s="6"/>
    </row>
    <row r="30" spans="1:18">
      <c r="A30" s="231" t="s">
        <v>49</v>
      </c>
      <c r="B30" s="34">
        <f>IF(ISERROR(TER_ander_ele_kWh/1000),0,TER_ander_ele_kWh/1000)</f>
        <v>6251.335</v>
      </c>
      <c r="C30" s="40">
        <f>IF(ISERROR(B30*3.6/1000000/'E Balans VL '!Z14*100),0,B30*3.6/1000000/'E Balans VL '!Z14*100)</f>
        <v>0.4675471833311215</v>
      </c>
      <c r="D30" s="236" t="s">
        <v>691</v>
      </c>
      <c r="F30" s="6"/>
    </row>
    <row r="31" spans="1:18">
      <c r="A31" s="231" t="s">
        <v>54</v>
      </c>
      <c r="B31" s="34">
        <f>IF(ISERROR(TER_onderwijs_ele_kWh/1000),0,TER_onderwijs_ele_kWh/1000)</f>
        <v>590.08900000000006</v>
      </c>
      <c r="C31" s="40">
        <f>IF(ISERROR(B31*3.6/1000000/'E Balans VL '!Z11*100),0,B31*3.6/1000000/'E Balans VL '!Z11*100)</f>
        <v>0.12459805671063043</v>
      </c>
      <c r="D31" s="236" t="s">
        <v>691</v>
      </c>
    </row>
    <row r="32" spans="1:18">
      <c r="A32" s="231" t="s">
        <v>255</v>
      </c>
      <c r="B32" s="34">
        <f>IF(ISERROR(TER_rest_ele_kWh/1000),0,TER_rest_ele_kWh/1000)</f>
        <v>117.24299999999999</v>
      </c>
      <c r="C32" s="40">
        <f>IF(ISERROR(B32*3.6/1000000/'E Balans VL '!Z8*100),0,B32*3.6/1000000/'E Balans VL '!Z8*100)</f>
        <v>9.6583986914834251E-4</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3</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5</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85384.163000000015</v>
      </c>
      <c r="C5" s="18">
        <f>IF(ISERROR('Eigen informatie GS &amp; warmtenet'!B59),0,'Eigen informatie GS &amp; warmtenet'!B59)</f>
        <v>0</v>
      </c>
      <c r="D5" s="31">
        <f>SUM(D6:D15)</f>
        <v>126512.21281653017</v>
      </c>
      <c r="E5" s="18">
        <f>SUM(E6:E15)</f>
        <v>655.96760234975943</v>
      </c>
      <c r="F5" s="18">
        <f>SUM(F6:F15)</f>
        <v>25020.491668900293</v>
      </c>
      <c r="G5" s="19"/>
      <c r="H5" s="18"/>
      <c r="I5" s="18"/>
      <c r="J5" s="18">
        <f>SUM(J6:J15)</f>
        <v>262.37237956844854</v>
      </c>
      <c r="K5" s="18"/>
      <c r="L5" s="18"/>
      <c r="M5" s="18"/>
      <c r="N5" s="18">
        <f>SUM(N6:N15)</f>
        <v>3038.6663732289753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14170.68</v>
      </c>
      <c r="C8" s="34"/>
      <c r="D8" s="38">
        <f>IF( ISERROR(IND_metaal_Gas_kWH/1000),0,IND_metaal_Gas_kWH/1000)*0.902</f>
        <v>6911.0584973405184</v>
      </c>
      <c r="E8" s="34">
        <f>C30*'E Balans VL '!I18/100/3.6*1000000</f>
        <v>129.04982902839328</v>
      </c>
      <c r="F8" s="34">
        <f>C30*'E Balans VL '!L18/100/3.6*1000000+C30*'E Balans VL '!N18/100/3.6*1000000</f>
        <v>1869.0050780077518</v>
      </c>
      <c r="G8" s="35"/>
      <c r="H8" s="34"/>
      <c r="I8" s="34"/>
      <c r="J8" s="41">
        <f>C30*'E Balans VL '!D18/100/3.6*1000000+C30*'E Balans VL '!E18/100/3.6*1000000</f>
        <v>232.37857691352667</v>
      </c>
      <c r="K8" s="34"/>
      <c r="L8" s="34"/>
      <c r="M8" s="34"/>
      <c r="N8" s="34">
        <f>C30*'E Balans VL '!Y18/100/3.6*1000000</f>
        <v>48.698997871810207</v>
      </c>
      <c r="O8" s="34"/>
      <c r="P8" s="34"/>
      <c r="R8" s="33"/>
    </row>
    <row r="9" spans="1:18">
      <c r="A9" s="6" t="s">
        <v>32</v>
      </c>
      <c r="B9" s="38">
        <f t="shared" si="0"/>
        <v>23700.387999999999</v>
      </c>
      <c r="C9" s="34"/>
      <c r="D9" s="38">
        <f>IF( ISERROR(IND_andere_gas_kWh/1000),0,IND_andere_gas_kWh/1000)*0.902</f>
        <v>10959.158909336071</v>
      </c>
      <c r="E9" s="34">
        <f>C31*'E Balans VL '!I19/100/3.6*1000000</f>
        <v>136.99178437003957</v>
      </c>
      <c r="F9" s="34">
        <f>C31*'E Balans VL '!L19/100/3.6*1000000+C31*'E Balans VL '!N19/100/3.6*1000000</f>
        <v>18854.79907154258</v>
      </c>
      <c r="G9" s="35"/>
      <c r="H9" s="34"/>
      <c r="I9" s="34"/>
      <c r="J9" s="41">
        <f>C31*'E Balans VL '!D19/100/3.6*1000000+C31*'E Balans VL '!E19/100/3.6*1000000</f>
        <v>2.2417934483465189</v>
      </c>
      <c r="K9" s="34"/>
      <c r="L9" s="34"/>
      <c r="M9" s="34"/>
      <c r="N9" s="34">
        <f>C31*'E Balans VL '!Y19/100/3.6*1000000</f>
        <v>1795.6630562535597</v>
      </c>
      <c r="O9" s="34"/>
      <c r="P9" s="34"/>
      <c r="R9" s="33"/>
    </row>
    <row r="10" spans="1:18">
      <c r="A10" s="6" t="s">
        <v>40</v>
      </c>
      <c r="B10" s="38">
        <f t="shared" si="0"/>
        <v>21434.293000000001</v>
      </c>
      <c r="C10" s="34"/>
      <c r="D10" s="38">
        <f>IF( ISERROR(IND_voed_gas_kWh/1000),0,IND_voed_gas_kWh/1000)*0.902</f>
        <v>1828.1050446418451</v>
      </c>
      <c r="E10" s="34">
        <f>C32*'E Balans VL '!I20/100/3.6*1000000</f>
        <v>210.75517554381182</v>
      </c>
      <c r="F10" s="34">
        <f>C32*'E Balans VL '!L20/100/3.6*1000000+C32*'E Balans VL '!N20/100/3.6*1000000</f>
        <v>2380.5580118543139</v>
      </c>
      <c r="G10" s="35"/>
      <c r="H10" s="34"/>
      <c r="I10" s="34"/>
      <c r="J10" s="41">
        <f>C32*'E Balans VL '!D20/100/3.6*1000000+C32*'E Balans VL '!E20/100/3.6*1000000</f>
        <v>8.4482279296510379E-2</v>
      </c>
      <c r="K10" s="34"/>
      <c r="L10" s="34"/>
      <c r="M10" s="34"/>
      <c r="N10" s="34">
        <f>C32*'E Balans VL '!Y20/100/3.6*1000000</f>
        <v>317.39146055833589</v>
      </c>
      <c r="O10" s="34"/>
      <c r="P10" s="34"/>
      <c r="R10" s="33"/>
    </row>
    <row r="11" spans="1:18">
      <c r="A11" s="6" t="s">
        <v>39</v>
      </c>
      <c r="B11" s="38">
        <f t="shared" si="0"/>
        <v>13972.989</v>
      </c>
      <c r="C11" s="34"/>
      <c r="D11" s="38">
        <f>IF( ISERROR(IND_textiel_gas_kWh/1000),0,IND_textiel_gas_kWh/1000)*0.902</f>
        <v>32672.379348119804</v>
      </c>
      <c r="E11" s="34">
        <f>C33*'E Balans VL '!I21/100/3.6*1000000</f>
        <v>27.208654206705376</v>
      </c>
      <c r="F11" s="34">
        <f>C33*'E Balans VL '!L21/100/3.6*1000000+C33*'E Balans VL '!N21/100/3.6*1000000</f>
        <v>460.87502963345918</v>
      </c>
      <c r="G11" s="35"/>
      <c r="H11" s="34"/>
      <c r="I11" s="34"/>
      <c r="J11" s="41">
        <f>C33*'E Balans VL '!D21/100/3.6*1000000+C33*'E Balans VL '!E21/100/3.6*1000000</f>
        <v>0</v>
      </c>
      <c r="K11" s="34"/>
      <c r="L11" s="34"/>
      <c r="M11" s="34"/>
      <c r="N11" s="34">
        <f>C33*'E Balans VL '!Y21/100/3.6*1000000</f>
        <v>144.93664736839344</v>
      </c>
      <c r="O11" s="34"/>
      <c r="P11" s="34"/>
      <c r="R11" s="33"/>
    </row>
    <row r="12" spans="1:18">
      <c r="A12" s="6" t="s">
        <v>36</v>
      </c>
      <c r="B12" s="38">
        <f t="shared" si="0"/>
        <v>645.54100000000005</v>
      </c>
      <c r="C12" s="34"/>
      <c r="D12" s="38">
        <f>IF( ISERROR(IND_min_gas_kWh/1000),0,IND_min_gas_kWh/1000)*0.902</f>
        <v>0</v>
      </c>
      <c r="E12" s="34">
        <f>C34*'E Balans VL '!I22/100/3.6*1000000</f>
        <v>16.36561308703207</v>
      </c>
      <c r="F12" s="34">
        <f>C34*'E Balans VL '!L22/100/3.6*1000000+C34*'E Balans VL '!N22/100/3.6*1000000</f>
        <v>178.62344479143286</v>
      </c>
      <c r="G12" s="35"/>
      <c r="H12" s="34"/>
      <c r="I12" s="34"/>
      <c r="J12" s="41">
        <f>C34*'E Balans VL '!D22/100/3.6*1000000+C34*'E Balans VL '!E22/100/3.6*1000000</f>
        <v>4.2632824860629057</v>
      </c>
      <c r="K12" s="34"/>
      <c r="L12" s="34"/>
      <c r="M12" s="34"/>
      <c r="N12" s="34">
        <f>C34*'E Balans VL '!Y22/100/3.6*1000000</f>
        <v>0</v>
      </c>
      <c r="O12" s="34"/>
      <c r="P12" s="34"/>
      <c r="R12" s="33"/>
    </row>
    <row r="13" spans="1:18">
      <c r="A13" s="6" t="s">
        <v>38</v>
      </c>
      <c r="B13" s="38">
        <f t="shared" si="0"/>
        <v>1596.85</v>
      </c>
      <c r="C13" s="34"/>
      <c r="D13" s="38">
        <f>IF( ISERROR(IND_papier_gas_kWh/1000),0,IND_papier_gas_kWh/1000)*0.902</f>
        <v>129.79836056176646</v>
      </c>
      <c r="E13" s="34">
        <f>C35*'E Balans VL '!I23/100/3.6*1000000</f>
        <v>54.391026282811168</v>
      </c>
      <c r="F13" s="34">
        <f>C35*'E Balans VL '!L23/100/3.6*1000000+C35*'E Balans VL '!N23/100/3.6*1000000</f>
        <v>263.76214273721939</v>
      </c>
      <c r="G13" s="35"/>
      <c r="H13" s="34"/>
      <c r="I13" s="34"/>
      <c r="J13" s="41">
        <f>C35*'E Balans VL '!D23/100/3.6*1000000+C35*'E Balans VL '!E23/100/3.6*1000000</f>
        <v>0</v>
      </c>
      <c r="K13" s="34"/>
      <c r="L13" s="34"/>
      <c r="M13" s="34"/>
      <c r="N13" s="34">
        <f>C35*'E Balans VL '!Y23/100/3.6*1000000</f>
        <v>587.59797580273414</v>
      </c>
      <c r="O13" s="34"/>
      <c r="P13" s="34"/>
      <c r="R13" s="33"/>
    </row>
    <row r="14" spans="1:18">
      <c r="A14" s="6" t="s">
        <v>33</v>
      </c>
      <c r="B14" s="38">
        <f t="shared" si="0"/>
        <v>5209.3530000000001</v>
      </c>
      <c r="C14" s="34"/>
      <c r="D14" s="38">
        <f>IF( ISERROR(IND_chemie_gas_kWh/1000),0,IND_chemie_gas_kWh/1000)*0.902</f>
        <v>0</v>
      </c>
      <c r="E14" s="34">
        <f>C36*'E Balans VL '!I24/100/3.6*1000000</f>
        <v>39.385494156719069</v>
      </c>
      <c r="F14" s="34">
        <f>C36*'E Balans VL '!L24/100/3.6*1000000+C36*'E Balans VL '!N24/100/3.6*1000000</f>
        <v>96.387433390811537</v>
      </c>
      <c r="G14" s="35"/>
      <c r="H14" s="34"/>
      <c r="I14" s="34"/>
      <c r="J14" s="41">
        <f>C36*'E Balans VL '!D24/100/3.6*1000000+C36*'E Balans VL '!E24/100/3.6*1000000</f>
        <v>0</v>
      </c>
      <c r="K14" s="34"/>
      <c r="L14" s="34"/>
      <c r="M14" s="34"/>
      <c r="N14" s="34">
        <f>C36*'E Balans VL '!Y24/100/3.6*1000000</f>
        <v>1.5105780409022207</v>
      </c>
      <c r="O14" s="34"/>
      <c r="P14" s="34"/>
      <c r="R14" s="33"/>
    </row>
    <row r="15" spans="1:18">
      <c r="A15" s="6" t="s">
        <v>265</v>
      </c>
      <c r="B15" s="38">
        <f t="shared" si="0"/>
        <v>4654.0690000000004</v>
      </c>
      <c r="C15" s="34"/>
      <c r="D15" s="38">
        <f>IF( ISERROR(IND_rest_gas_kWh/1000),0,IND_rest_gas_kWh/1000)*0.902</f>
        <v>74011.712656530173</v>
      </c>
      <c r="E15" s="34">
        <f>C37*'E Balans VL '!I15/100/3.6*1000000</f>
        <v>41.820025674247105</v>
      </c>
      <c r="F15" s="34">
        <f>C37*'E Balans VL '!L15/100/3.6*1000000+C37*'E Balans VL '!N15/100/3.6*1000000</f>
        <v>916.48145694272887</v>
      </c>
      <c r="G15" s="35"/>
      <c r="H15" s="34"/>
      <c r="I15" s="34"/>
      <c r="J15" s="41">
        <f>C37*'E Balans VL '!D15/100/3.6*1000000+C37*'E Balans VL '!E15/100/3.6*1000000</f>
        <v>23.404244441215933</v>
      </c>
      <c r="K15" s="34"/>
      <c r="L15" s="34"/>
      <c r="M15" s="34"/>
      <c r="N15" s="34">
        <f>C37*'E Balans VL '!Y15/100/3.6*1000000</f>
        <v>142.86765733323969</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85384.163000000015</v>
      </c>
      <c r="C18" s="22">
        <f>C5+C16</f>
        <v>0</v>
      </c>
      <c r="D18" s="22">
        <f>MAX((D5+D16),0)</f>
        <v>126512.21281653017</v>
      </c>
      <c r="E18" s="22">
        <f>MAX((E5+E16),0)</f>
        <v>655.96760234975943</v>
      </c>
      <c r="F18" s="22">
        <f>MAX((F5+F16),0)</f>
        <v>25020.491668900293</v>
      </c>
      <c r="G18" s="22"/>
      <c r="H18" s="22"/>
      <c r="I18" s="22"/>
      <c r="J18" s="22">
        <f>MAX((J5+J16),0)</f>
        <v>262.37237956844854</v>
      </c>
      <c r="K18" s="22"/>
      <c r="L18" s="22">
        <f>MAX((L5+L16),0)</f>
        <v>0</v>
      </c>
      <c r="M18" s="22"/>
      <c r="N18" s="22">
        <f>MAX((N5+N16),0)</f>
        <v>3038.6663732289753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0.20615177943770271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17602.097138248861</v>
      </c>
      <c r="C22" s="24">
        <f ca="1">C18*C20</f>
        <v>0</v>
      </c>
      <c r="D22" s="24">
        <f>D18*D20</f>
        <v>25555.466988939097</v>
      </c>
      <c r="E22" s="24">
        <f>E18*E20</f>
        <v>148.9046457333954</v>
      </c>
      <c r="F22" s="24">
        <f>F18*F20</f>
        <v>6680.4712755963783</v>
      </c>
      <c r="G22" s="24"/>
      <c r="H22" s="24"/>
      <c r="I22" s="24"/>
      <c r="J22" s="24">
        <f>J18*J20</f>
        <v>92.879822367230773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14170.68</v>
      </c>
      <c r="C30" s="40">
        <f>IF(ISERROR(B30*3.6/1000000/'E Balans VL '!Z18*100),0,B30*3.6/1000000/'E Balans VL '!Z18*100)</f>
        <v>0.78850358347584348</v>
      </c>
      <c r="D30" s="236" t="s">
        <v>691</v>
      </c>
    </row>
    <row r="31" spans="1:18">
      <c r="A31" s="6" t="s">
        <v>32</v>
      </c>
      <c r="B31" s="38">
        <f>IF( ISERROR(IND_ander_ele_kWh/1000),0,IND_ander_ele_kWh/1000)</f>
        <v>23700.387999999999</v>
      </c>
      <c r="C31" s="40">
        <f>IF(ISERROR(B31*3.6/1000000/'E Balans VL '!Z19*100),0,B31*3.6/1000000/'E Balans VL '!Z19*100)</f>
        <v>1.1017687937266167</v>
      </c>
      <c r="D31" s="236" t="s">
        <v>691</v>
      </c>
    </row>
    <row r="32" spans="1:18">
      <c r="A32" s="171" t="s">
        <v>40</v>
      </c>
      <c r="B32" s="38">
        <f>IF( ISERROR(IND_voed_ele_kWh/1000),0,IND_voed_ele_kWh/1000)</f>
        <v>21434.293000000001</v>
      </c>
      <c r="C32" s="40">
        <f>IF(ISERROR(B32*3.6/1000000/'E Balans VL '!Z20*100),0,B32*3.6/1000000/'E Balans VL '!Z20*100)</f>
        <v>0.75765896916200437</v>
      </c>
      <c r="D32" s="236" t="s">
        <v>691</v>
      </c>
    </row>
    <row r="33" spans="1:5">
      <c r="A33" s="171" t="s">
        <v>39</v>
      </c>
      <c r="B33" s="38">
        <f>IF( ISERROR(IND_textiel_ele_kWh/1000),0,IND_textiel_ele_kWh/1000)</f>
        <v>13972.989</v>
      </c>
      <c r="C33" s="40">
        <f>IF(ISERROR(B33*3.6/1000000/'E Balans VL '!Z21*100),0,B33*3.6/1000000/'E Balans VL '!Z21*100)</f>
        <v>1.8872641896994842</v>
      </c>
      <c r="D33" s="236" t="s">
        <v>691</v>
      </c>
    </row>
    <row r="34" spans="1:5">
      <c r="A34" s="171" t="s">
        <v>36</v>
      </c>
      <c r="B34" s="38">
        <f>IF( ISERROR(IND_min_ele_kWh/1000),0,IND_min_ele_kWh/1000)</f>
        <v>645.54100000000005</v>
      </c>
      <c r="C34" s="40">
        <f>IF(ISERROR(B34*3.6/1000000/'E Balans VL '!Z22*100),0,B34*3.6/1000000/'E Balans VL '!Z22*100)</f>
        <v>0.12973553735879367</v>
      </c>
      <c r="D34" s="236" t="s">
        <v>691</v>
      </c>
    </row>
    <row r="35" spans="1:5">
      <c r="A35" s="171" t="s">
        <v>38</v>
      </c>
      <c r="B35" s="38">
        <f>IF( ISERROR(IND_papier_ele_kWh/1000),0,IND_papier_ele_kWh/1000)</f>
        <v>1596.85</v>
      </c>
      <c r="C35" s="40">
        <f>IF(ISERROR(B35*3.6/1000000/'E Balans VL '!Z22*100),0,B35*3.6/1000000/'E Balans VL '!Z22*100)</f>
        <v>0.32092182035128619</v>
      </c>
      <c r="D35" s="236" t="s">
        <v>691</v>
      </c>
    </row>
    <row r="36" spans="1:5">
      <c r="A36" s="171" t="s">
        <v>33</v>
      </c>
      <c r="B36" s="38">
        <f>IF( ISERROR(IND_chemie_ele_kWh/1000),0,IND_chemie_ele_kWh/1000)</f>
        <v>5209.3530000000001</v>
      </c>
      <c r="C36" s="40">
        <f>IF(ISERROR(B36*3.6/1000000/'E Balans VL '!Z24*100),0,B36*3.6/1000000/'E Balans VL '!Z24*100)</f>
        <v>0.1282814836773086</v>
      </c>
      <c r="D36" s="236" t="s">
        <v>691</v>
      </c>
    </row>
    <row r="37" spans="1:5">
      <c r="A37" s="171" t="s">
        <v>265</v>
      </c>
      <c r="B37" s="38">
        <f>IF( ISERROR(IND_rest_ele_kWh/1000),0,IND_rest_ele_kWh/1000)</f>
        <v>4654.0690000000004</v>
      </c>
      <c r="C37" s="40">
        <f>IF(ISERROR(B37*3.6/1000000/'E Balans VL '!Z15*100),0,B37*3.6/1000000/'E Balans VL '!Z15*100)</f>
        <v>3.5145096049530956E-2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3675.2249999999999</v>
      </c>
      <c r="C5" s="18">
        <f>'Eigen informatie GS &amp; warmtenet'!B60</f>
        <v>0</v>
      </c>
      <c r="D5" s="31">
        <f>IF(ISERROR(SUM(LB_lb_gas_kWh,LB_rest_gas_kWh)/1000),0,SUM(LB_lb_gas_kWh,LB_rest_gas_kWh)/1000)*0.902</f>
        <v>72.613120883931643</v>
      </c>
      <c r="E5" s="18">
        <f>B17*'E Balans VL '!I25/3.6*1000000/100</f>
        <v>34.623081981527022</v>
      </c>
      <c r="F5" s="18">
        <f>B17*('E Balans VL '!L25/3.6*1000000+'E Balans VL '!N25/3.6*1000000)/100</f>
        <v>11993.478875059462</v>
      </c>
      <c r="G5" s="19"/>
      <c r="H5" s="18"/>
      <c r="I5" s="18"/>
      <c r="J5" s="18">
        <f>('E Balans VL '!D25+'E Balans VL '!E25)/3.6*1000000*landbouw!B17/100</f>
        <v>454.64320879096618</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3675.2249999999999</v>
      </c>
      <c r="C8" s="22">
        <f>C5+C6</f>
        <v>0</v>
      </c>
      <c r="D8" s="22">
        <f>MAX((D5+D6),0)</f>
        <v>72.613120883931643</v>
      </c>
      <c r="E8" s="22">
        <f>MAX((E5+E6),0)</f>
        <v>34.623081981527022</v>
      </c>
      <c r="F8" s="22">
        <f>MAX((F5+F6),0)</f>
        <v>11993.478875059462</v>
      </c>
      <c r="G8" s="22"/>
      <c r="H8" s="22"/>
      <c r="I8" s="22"/>
      <c r="J8" s="22">
        <f>MAX((J5+J6),0)</f>
        <v>454.64320879096618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0.20615177943770271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757.65417358393097</v>
      </c>
      <c r="C12" s="24">
        <f ca="1">C8*C10</f>
        <v>0</v>
      </c>
      <c r="D12" s="24">
        <f>D8*D10</f>
        <v>14.667850418554194</v>
      </c>
      <c r="E12" s="24">
        <f>E8*E10</f>
        <v>7.8594396098066346</v>
      </c>
      <c r="F12" s="24">
        <f>F8*F10</f>
        <v>3202.2588596408764</v>
      </c>
      <c r="G12" s="24"/>
      <c r="H12" s="24"/>
      <c r="I12" s="24"/>
      <c r="J12" s="24">
        <f>J8*J10</f>
        <v>160.94369591200203</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0.49756673678186319</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284.34596150797984</v>
      </c>
      <c r="C26" s="246">
        <f>B26*'GWP N2O_CH4'!B5</f>
        <v>5971.2651916675768</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197.95402646475958</v>
      </c>
      <c r="C27" s="246">
        <f>B27*'GWP N2O_CH4'!B5</f>
        <v>4157.0345557599512</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4.5874638009460913</v>
      </c>
      <c r="C28" s="246">
        <f>B28*'GWP N2O_CH4'!B4</f>
        <v>1422.1137782932883</v>
      </c>
      <c r="D28" s="51"/>
    </row>
    <row r="29" spans="1:4">
      <c r="A29" s="42" t="s">
        <v>272</v>
      </c>
      <c r="B29" s="246">
        <f>B34*'ha_N2O bodem landbouw'!B4</f>
        <v>10.242032534138847</v>
      </c>
      <c r="C29" s="246">
        <f>B29*'GWP N2O_CH4'!B4</f>
        <v>3175.0300855830424</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2.7650263623003471E-3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3.3112995283801593E-5</v>
      </c>
      <c r="C5" s="435" t="s">
        <v>210</v>
      </c>
      <c r="D5" s="420">
        <f>SUM(D6:D11)</f>
        <v>4.0695702789518634E-5</v>
      </c>
      <c r="E5" s="420">
        <f>SUM(E6:E11)</f>
        <v>2.9275159816172726E-3</v>
      </c>
      <c r="F5" s="433" t="s">
        <v>210</v>
      </c>
      <c r="G5" s="420">
        <f>SUM(G6:G11)</f>
        <v>0.71008154820649216</v>
      </c>
      <c r="H5" s="420">
        <f>SUM(H6:H11)</f>
        <v>0.10065364944383698</v>
      </c>
      <c r="I5" s="435" t="s">
        <v>210</v>
      </c>
      <c r="J5" s="435" t="s">
        <v>210</v>
      </c>
      <c r="K5" s="435" t="s">
        <v>210</v>
      </c>
      <c r="L5" s="435" t="s">
        <v>210</v>
      </c>
      <c r="M5" s="420">
        <f>SUM(M6:M11)</f>
        <v>3.6206012624571904E-2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4.2613483087194517E-6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4.9631134227343333E-6</v>
      </c>
      <c r="E6" s="423">
        <f>vkm_GW_PW*SUMIFS(TableVerdeelsleutelVkm[LPG],TableVerdeelsleutelVkm[Voertuigtype],"Lichte voertuigen")*SUMIFS(TableECFTransport[EnergieConsumptieFactor (PJ per km)],TableECFTransport[Index],CONCATENATE($A6,"_LPG_LPG"))</f>
        <v>3.2199404512300546E-4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5.0237124838993022E-2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1.2107139137853372E-2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2.7899098731128703E-3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1.9091599136197263E-7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3.1581718267485667E-2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8.474500405625857E-7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1.4052834375276207E-3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7.0131826586279026E-6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1.3340280141946371E-5</v>
      </c>
      <c r="E8" s="423">
        <f>vkm_NGW_PW*SUMIFS(TableVerdeelsleutelVkm[LPG],TableVerdeelsleutelVkm[Voertuigtype],"Lichte voertuigen")*SUMIFS(TableECFTransport[EnergieConsumptieFactor (PJ per km)],TableECFTransport[Index],CONCATENATE($A8,"_LPG_LPG"))</f>
        <v>8.2001315712567279E-4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0.12044169692134996</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3.1020929840586853E-2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6.7800691051911732E-3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7.1688896696168406E-8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1.520723892755995E-2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3.8409631506256977E-7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6.7667142557499321E-4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2.0076486408105355E-5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2.239230922483793E-5</v>
      </c>
      <c r="E10" s="423">
        <f>vkm_SW_PW*SUMIFS(TableVerdeelsleutelVkm[LPG],TableVerdeelsleutelVkm[Voertuigtype],"Lichte voertuigen")*SUMIFS(TableECFTransport[EnergieConsumptieFactor (PJ per km)],TableECFTransport[Index],CONCATENATE($A10,"_LPG_LPG"))</f>
        <v>1.7855087793685943E-3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0.26028067021012063</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5.7517498582165684E-2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1.4215985571918688E-2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1.4993730202907415E-6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0.2323330990409829</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6.8503368754429045E-6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1.033809321124656E-2</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9.1980542455004439</v>
      </c>
      <c r="C14" s="22"/>
      <c r="D14" s="22">
        <f t="shared" ref="D14:M14" si="0">((D5)*10^9/3600)+D12</f>
        <v>11.304361885977398</v>
      </c>
      <c r="E14" s="22">
        <f t="shared" si="0"/>
        <v>813.19888378257576</v>
      </c>
      <c r="F14" s="22"/>
      <c r="G14" s="22">
        <f t="shared" si="0"/>
        <v>197244.8745018034</v>
      </c>
      <c r="H14" s="22">
        <f t="shared" si="0"/>
        <v>27959.347067732491</v>
      </c>
      <c r="I14" s="22"/>
      <c r="J14" s="22"/>
      <c r="K14" s="22"/>
      <c r="L14" s="22"/>
      <c r="M14" s="22">
        <f t="shared" si="0"/>
        <v>10057.225729047752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0.20615177943770271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1.8961952500744326</v>
      </c>
      <c r="C18" s="24"/>
      <c r="D18" s="24">
        <f t="shared" ref="D18:M18" si="1">D14*D16</f>
        <v>2.2834811009674345</v>
      </c>
      <c r="E18" s="24">
        <f t="shared" si="1"/>
        <v>184.5961466186447</v>
      </c>
      <c r="F18" s="24"/>
      <c r="G18" s="24">
        <f t="shared" si="1"/>
        <v>52664.381491981512</v>
      </c>
      <c r="H18" s="24">
        <f t="shared" si="1"/>
        <v>6961.87741986539</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2.6715092232097564E-5</v>
      </c>
      <c r="C50" s="316">
        <f t="shared" ref="C50:P50" si="2">SUM(C51:C52)</f>
        <v>0</v>
      </c>
      <c r="D50" s="316">
        <f t="shared" si="2"/>
        <v>0</v>
      </c>
      <c r="E50" s="316">
        <f t="shared" si="2"/>
        <v>0</v>
      </c>
      <c r="F50" s="316">
        <f t="shared" si="2"/>
        <v>0</v>
      </c>
      <c r="G50" s="316">
        <f t="shared" si="2"/>
        <v>5.3283778162419712E-3</v>
      </c>
      <c r="H50" s="316">
        <f t="shared" si="2"/>
        <v>0</v>
      </c>
      <c r="I50" s="316">
        <f t="shared" si="2"/>
        <v>0</v>
      </c>
      <c r="J50" s="316">
        <f t="shared" si="2"/>
        <v>0</v>
      </c>
      <c r="K50" s="316">
        <f t="shared" si="2"/>
        <v>0</v>
      </c>
      <c r="L50" s="316">
        <f t="shared" si="2"/>
        <v>0</v>
      </c>
      <c r="M50" s="316">
        <f t="shared" si="2"/>
        <v>2.3550862443696033E-4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2.6715092232097564E-5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5.3283778162419712E-3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2.3550862443696033E-4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7.4208589533604341</v>
      </c>
      <c r="C54" s="22">
        <f t="shared" ref="C54:P54" si="3">(C50)*10^9/3600</f>
        <v>0</v>
      </c>
      <c r="D54" s="22">
        <f t="shared" si="3"/>
        <v>0</v>
      </c>
      <c r="E54" s="22">
        <f t="shared" si="3"/>
        <v>0</v>
      </c>
      <c r="F54" s="22">
        <f t="shared" si="3"/>
        <v>0</v>
      </c>
      <c r="G54" s="22">
        <f t="shared" si="3"/>
        <v>1480.104948956103</v>
      </c>
      <c r="H54" s="22">
        <f t="shared" si="3"/>
        <v>0</v>
      </c>
      <c r="I54" s="22">
        <f t="shared" si="3"/>
        <v>0</v>
      </c>
      <c r="J54" s="22">
        <f t="shared" si="3"/>
        <v>0</v>
      </c>
      <c r="K54" s="22">
        <f t="shared" si="3"/>
        <v>0</v>
      </c>
      <c r="L54" s="22">
        <f t="shared" si="3"/>
        <v>0</v>
      </c>
      <c r="M54" s="22">
        <f t="shared" si="3"/>
        <v>65.419062343600089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0.20615177943770271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1.5298232781914616</v>
      </c>
      <c r="C58" s="24">
        <f t="shared" ref="C58:P58" ca="1" si="4">C54*C56</f>
        <v>0</v>
      </c>
      <c r="D58" s="24">
        <f t="shared" si="4"/>
        <v>0</v>
      </c>
      <c r="E58" s="24">
        <f t="shared" si="4"/>
        <v>0</v>
      </c>
      <c r="F58" s="24">
        <f t="shared" si="4"/>
        <v>0</v>
      </c>
      <c r="G58" s="24">
        <f t="shared" si="4"/>
        <v>395.18802137127955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13005.792835278469</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13005.792835278469</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2021-06-29T16:43:47Z</dcterms:modified>
</cp:coreProperties>
</file>