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I48" i="18" l="1"/>
  <c r="H8" i="18" s="1"/>
  <c r="H10" i="18" s="1"/>
  <c r="F48" i="18"/>
  <c r="E48" i="18"/>
  <c r="E8" i="18" s="1"/>
  <c r="E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<sst xmlns="http://schemas.openxmlformats.org/spreadsheetml/2006/main" count="2574" uniqueCount="971">
  <si>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</si>
  <si>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</si>
  <si>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</si>
  <si>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</si>
  <si>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</si>
  <si>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</si>
  <si>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</si>
  <si>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</si>
  <si>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</si>
  <si>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</si>
  <si>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</si>
  <si>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</si>
  <si>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</si>
  <si>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</si>
  <si>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</si>
  <si>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</si>
  <si>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</si>
  <si>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</si>
  <si>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</si>
  <si>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</si>
  <si>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</si>
  <si>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</si>
  <si>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</si>
  <si>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</si>
  <si>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</si>
  <si>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</si>
  <si>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</si>
  <si>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</si>
  <si>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</si>
  <si>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</si>
  <si>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</si>
  <si>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</si>
  <si>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</si>
  <si>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</si>
  <si>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</si>
  <si>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</si>
  <si>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</si>
  <si>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</si>
  <si>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</si>
  <si>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</si>
  <si>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</si>
  <si>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</si>
  <si>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</si>
  <si>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</si>
  <si>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</si>
  <si>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</si>
  <si>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</si>
  <si>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</si>
  <si>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</si>
  <si>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</si>
  <si>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</si>
  <si>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</si>
  <si>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</si>
  <si>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</si>
  <si>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</si>
  <si>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</si>
  <si>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</si>
  <si>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</si>
  <si>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</si>
  <si>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</si>
  <si>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</si>
  <si>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</si>
  <si>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</si>
  <si>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</si>
  <si>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</si>
  <si>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</si>
  <si>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</si>
  <si>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</si>
  <si>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</si>
  <si>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</si>
  <si>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</si>
  <si>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</si>
  <si>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</si>
  <si>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</si>
  <si>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</si>
  <si>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</si>
  <si>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</si>
  <si>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</si>
  <si>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</si>
  <si>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</si>
  <si>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</si>
  <si>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</si>
  <si>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</si>
  <si>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</si>
  <si>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</si>
  <si>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</si>
  <si>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</si>
  <si>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</si>
  <si>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</si>
  <si>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</si>
  <si>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</si>
  <si>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</si>
  <si>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</si>
  <si>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</si>
  <si>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</si>
  <si>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</si>
  <si>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</si>
  <si>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</si>
  <si>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</si>
  <si>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</si>
  <si>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</si>
  <si>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</si>
  <si>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</si>
  <si>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</si>
  <si>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</si>
  <si>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</si>
  <si>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</si>
  <si>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</si>
  <si>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</si>
  <si>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</si>
  <si>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</si>
  <si>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</si>
  <si>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</si>
  <si>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</si>
  <si>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</si>
  <si>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</si>
  <si>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</si>
  <si>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</si>
  <si>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</si>
  <si>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</si>
  <si>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</si>
  <si>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</si>
  <si>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</si>
  <si>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</si>
  <si>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</si>
  <si>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</si>
  <si>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</si>
  <si>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</si>
  <si>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</si>
  <si>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</si>
  <si>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</si>
  <si>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</si>
  <si>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</si>
  <si>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</si>
  <si>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</si>
  <si>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</si>
  <si>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</si>
  <si>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</si>
  <si>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</si>
  <si>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</si>
  <si>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</si>
  <si>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</si>
  <si>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</si>
  <si>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</si>
  <si>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</si>
  <si>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</si>
  <si>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</si>
  <si>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</si>
  <si>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</si>
  <si>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</si>
  <si>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</si>
  <si>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</si>
  <si>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</si>
  <si>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</si>
  <si>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</si>
  <si>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</si>
  <si>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</si>
  <si>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</si>
  <si>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</si>
  <si>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</si>
  <si>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</si>
  <si>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</si>
  <si>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</si>
  <si>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</si>
  <si>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</si>
  <si>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</si>
  <si>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</si>
  <si>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</si>
  <si>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</si>
  <si>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</si>
  <si>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</si>
  <si>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</si>
  <si>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</si>
  <si>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</si>
  <si>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</si>
  <si>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</si>
  <si>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</si>
  <si>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</si>
  <si>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</si>
  <si>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</si>
  <si>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</si>
  <si>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</si>
  <si>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</si>
  <si>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</si>
  <si>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</si>
  <si>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</si>
  <si>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</si>
  <si>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</si>
  <si>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</si>
  <si>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</si>
  <si>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</si>
  <si>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</si>
  <si>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</si>
  <si>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</si>
  <si>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</si>
  <si>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</si>
  <si>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</si>
  <si>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</si>
  <si>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</si>
  <si>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</si>
  <si>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</si>
  <si>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</si>
  <si>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</si>
  <si>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</si>
  <si>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</si>
  <si>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</si>
  <si>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</si>
  <si>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</si>
  <si>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</si>
  <si>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</si>
  <si>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</si>
  <si>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</si>
  <si>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</si>
  <si>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</si>
  <si>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</si>
  <si>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</si>
  <si>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</si>
  <si>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</si>
  <si>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</si>
  <si>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</si>
  <si>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</si>
  <si>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</si>
  <si>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</si>
  <si>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</si>
  <si>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</si>
  <si>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</si>
  <si>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</si>
  <si>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</si>
  <si>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</si>
  <si>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</si>
  <si>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</si>
  <si>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</si>
  <si>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</si>
  <si>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</si>
  <si>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</si>
  <si>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</si>
  <si>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</si>
  <si>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</si>
  <si>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</si>
  <si>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</si>
  <si>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</si>
  <si>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</si>
  <si>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</si>
  <si>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</si>
  <si>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</si>
  <si>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</si>
  <si>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</si>
  <si>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</si>
  <si>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</si>
  <si>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</si>
  <si>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</si>
  <si>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</si>
  <si>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</si>
  <si>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</si>
  <si>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</si>
  <si>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</si>
  <si>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</si>
  <si>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</si>
  <si>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</si>
  <si>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</si>
  <si>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</si>
  <si>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</si>
  <si>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</si>
  <si>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</si>
  <si>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</si>
  <si>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</si>
  <si>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</si>
  <si>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</si>
  <si>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</si>
  <si>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</si>
  <si>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</si>
  <si>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</si>
  <si>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</si>
  <si>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</si>
  <si>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</si>
  <si>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</si>
  <si>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</si>
  <si>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</si>
  <si>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</si>
  <si>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</si>
  <si>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</si>
  <si>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</si>
  <si>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</si>
  <si>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</si>
  <si>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</si>
  <si>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</si>
  <si>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</si>
  <si>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</si>
  <si>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</si>
  <si>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</si>
  <si>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</si>
  <si>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</si>
  <si>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</si>
  <si>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</si>
  <si>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</si>
  <si>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</si>
  <si>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</si>
  <si>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</si>
  <si>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</si>
  <si>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</si>
  <si>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</si>
  <si>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</si>
  <si>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</si>
  <si>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</si>
  <si>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</si>
  <si>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</si>
  <si>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</si>
  <si>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</si>
  <si>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</si>
  <si>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</si>
  <si>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</si>
  <si>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</si>
  <si>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</si>
  <si>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</si>
  <si>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</si>
  <si>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</si>
  <si>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</si>
  <si>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</si>
  <si>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</si>
  <si>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</si>
  <si>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</si>
  <si>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</si>
  <si>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</si>
  <si>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</si>
  <si>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</si>
  <si>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</si>
  <si>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</si>
  <si>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</si>
  <si>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</si>
  <si>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</si>
  <si>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</si>
  <si>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</si>
  <si>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</si>
  <si>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</si>
  <si>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</si>
  <si>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</si>
  <si>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</si>
  <si>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</si>
  <si>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</si>
  <si>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</si>
  <si>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</si>
  <si>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</si>
  <si>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</si>
  <si>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</si>
  <si>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</si>
  <si>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</si>
  <si>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</si>
  <si>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</si>
  <si>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</si>
  <si>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</si>
  <si>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</si>
  <si>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</si>
  <si>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</si>
  <si>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</si>
  <si>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</si>
  <si>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</si>
  <si>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</si>
  <si>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</si>
  <si>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</si>
  <si>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</si>
  <si>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</si>
  <si>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</si>
  <si>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</si>
  <si>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</si>
  <si>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</si>
  <si>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</si>
  <si>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</si>
  <si>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</si>
  <si>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</si>
  <si>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</si>
  <si>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</si>
  <si>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</si>
  <si>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</si>
  <si>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</si>
  <si>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</si>
  <si>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</si>
  <si>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</si>
  <si>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</si>
  <si>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</si>
  <si>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</si>
  <si>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</si>
  <si>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</si>
  <si>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</si>
  <si>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</si>
  <si>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</si>
  <si>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</si>
  <si>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</si>
  <si>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</si>
  <si>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</si>
  <si>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</si>
  <si>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</si>
  <si>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</si>
  <si>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</si>
  <si>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</si>
  <si>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</si>
  <si>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</si>
  <si>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</si>
  <si>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</si>
  <si>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</si>
  <si>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</si>
  <si>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</si>
  <si>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</si>
  <si>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</si>
  <si>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</si>
  <si>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</si>
  <si>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</si>
  <si>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</si>
  <si>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</si>
  <si>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</si>
  <si>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</si>
  <si>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</si>
  <si>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</si>
  <si>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</si>
  <si>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</si>
  <si>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</si>
  <si>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</si>
  <si>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</si>
  <si>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</si>
  <si>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</si>
  <si>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</si>
  <si>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</si>
  <si>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</si>
  <si>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</si>
  <si>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</si>
  <si>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</si>
  <si>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</si>
  <si>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</si>
  <si>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</si>
  <si>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</si>
  <si>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</si>
  <si>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</si>
  <si>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</si>
  <si>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</si>
  <si>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</si>
  <si>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</si>
  <si>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</si>
  <si>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</si>
  <si>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</si>
  <si>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</si>
  <si>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</si>
  <si>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</si>
  <si>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</si>
  <si>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</si>
  <si>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</si>
  <si>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</si>
  <si>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</si>
  <si>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</si>
  <si>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</si>
  <si>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</si>
  <si>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</si>
  <si>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</si>
  <si>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</si>
  <si>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</si>
  <si>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</si>
  <si>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</si>
  <si>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</si>
  <si>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</si>
  <si>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</si>
  <si>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</si>
  <si>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</si>
  <si>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</si>
  <si>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</si>
  <si>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</si>
  <si>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</si>
  <si>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</si>
  <si>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</si>
  <si>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</si>
  <si>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</si>
  <si>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</si>
  <si>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</si>
  <si>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</si>
  <si>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</si>
  <si>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</si>
  <si>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</si>
  <si>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</si>
  <si>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</si>
  <si>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</si>
  <si>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</si>
  <si>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</si>
  <si>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</si>
  <si>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</si>
  <si>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</si>
  <si>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</si>
  <si>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</si>
  <si>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</si>
  <si>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</si>
  <si>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</si>
  <si>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</si>
  <si>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</si>
  <si>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</si>
  <si>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</si>
  <si>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</si>
  <si>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</si>
  <si>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</si>
  <si>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</si>
  <si>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</si>
  <si>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</si>
  <si>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</si>
  <si>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</si>
  <si>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</si>
  <si>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</si>
  <si>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</si>
  <si>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</si>
  <si>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</si>
  <si>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</si>
  <si>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</si>
  <si>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</si>
  <si>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</si>
  <si>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</si>
  <si>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</si>
  <si>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</si>
  <si>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</si>
  <si>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</si>
  <si>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</si>
  <si>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</si>
  <si>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</si>
  <si>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</si>
  <si>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</si>
  <si>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</si>
  <si>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</si>
  <si>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</si>
  <si>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</si>
  <si>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</si>
  <si>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</si>
  <si>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</si>
  <si>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</si>
  <si>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</si>
  <si>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</si>
  <si>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</si>
  <si>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</si>
  <si>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</si>
  <si>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</si>
  <si>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</si>
  <si>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</si>
  <si>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</si>
  <si>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</si>
  <si>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</si>
  <si>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</si>
  <si>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</si>
  <si>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</si>
  <si>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</si>
  <si>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</si>
  <si>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</si>
  <si>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</si>
  <si>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</si>
  <si>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</si>
  <si>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</si>
  <si>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</si>
  <si>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</si>
  <si>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</si>
  <si>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</si>
  <si>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</si>
  <si>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</si>
  <si>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</si>
  <si>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</si>
  <si>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</si>
  <si>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</si>
  <si>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</si>
  <si>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</si>
  <si>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</si>
  <si>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</si>
  <si>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</si>
  <si>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</si>
  <si>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</si>
  <si>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</si>
  <si>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</si>
  <si>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</si>
  <si>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</si>
  <si>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</si>
  <si>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</si>
  <si>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</si>
  <si>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</si>
  <si>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</si>
  <si>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</si>
  <si>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</si>
  <si>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</si>
  <si>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</si>
  <si>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</si>
  <si>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</si>
  <si>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</si>
  <si>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</si>
  <si>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</si>
  <si>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</si>
  <si>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</si>
  <si>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</si>
  <si>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</si>
  <si>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</si>
  <si>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</si>
  <si>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</si>
  <si>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</si>
  <si>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</si>
  <si>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</si>
  <si>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</si>
  <si>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</si>
  <si>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</si>
  <si>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</si>
  <si>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</si>
  <si>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</si>
  <si>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</si>
  <si>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</si>
  <si>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</si>
  <si>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</si>
  <si>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</si>
  <si>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</si>
  <si>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</si>
  <si>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</si>
  <si>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</si>
  <si>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</si>
  <si>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</si>
  <si>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</si>
  <si>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</si>
  <si>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</si>
  <si>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</si>
  <si>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</si>
  <si>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</si>
  <si>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</si>
  <si>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</si>
  <si>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</si>
  <si>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</si>
  <si>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</si>
  <si>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</si>
  <si>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</si>
  <si>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</si>
  <si>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</si>
  <si>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</si>
  <si>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</si>
  <si>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</si>
  <si>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</si>
  <si>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</si>
  <si>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</si>
  <si>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</si>
  <si>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</si>
  <si>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</si>
  <si>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</si>
  <si>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</si>
  <si>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</si>
  <si>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</si>
  <si>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</si>
  <si>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</si>
  <si>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</si>
  <si>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</si>
  <si>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</si>
  <si>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</si>
  <si>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</si>
  <si>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</si>
  <si>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</si>
  <si>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</si>
  <si>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</si>
  <si>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</si>
  <si>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</si>
  <si>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</si>
  <si>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</si>
  <si>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</si>
  <si>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</si>
  <si>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</si>
  <si>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</si>
  <si>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</si>
  <si>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</si>
  <si>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</si>
  <si>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</si>
  <si>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</si>
  <si>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</si>
  <si>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</si>
  <si>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</si>
  <si>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</si>
  <si>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</si>
  <si>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</si>
  <si>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</si>
  <si>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</si>
  <si>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</si>
  <si>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</si>
  <si>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</si>
  <si>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</si>
  <si>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</si>
  <si>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</si>
  <si>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</si>
  <si>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</si>
  <si>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</si>
  <si>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</si>
  <si>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</si>
  <si>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</si>
  <si>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</si>
  <si>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</si>
  <si>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</si>
  <si>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</si>
  <si>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</si>
  <si>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</si>
  <si>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</si>
  <si>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</si>
  <si>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</si>
  <si>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</si>
  <si>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</si>
  <si>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</si>
  <si>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</si>
  <si>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</si>
  <si>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</si>
  <si>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</si>
  <si>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</si>
  <si>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</si>
  <si>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</si>
  <si>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</si>
  <si>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</si>
  <si>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</si>
  <si>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</si>
  <si>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</si>
  <si>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</si>
  <si>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</si>
  <si>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</si>
  <si>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</si>
  <si>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</si>
  <si>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</si>
  <si>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</si>
  <si>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</si>
  <si>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</si>
  <si>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</si>
  <si>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</si>
  <si>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</si>
  <si>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</si>
  <si>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</si>
  <si>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</si>
  <si>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</si>
  <si>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</si>
  <si>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</si>
  <si>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</si>
  <si>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</si>
  <si>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</si>
  <si>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</si>
  <si>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</si>
  <si>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</si>
  <si>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</si>
  <si>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</si>
  <si>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</si>
  <si>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</si>
  <si>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</si>
  <si>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</si>
  <si>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</si>
  <si>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</si>
  <si>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</si>
  <si>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</si>
  <si>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</si>
  <si>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</si>
  <si>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</si>
  <si>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</si>
  <si>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</si>
  <si>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</si>
  <si>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</si>
  <si>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</si>
  <si>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</si>
  <si>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</si>
  <si>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</si>
  <si>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</si>
  <si>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</si>
  <si>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</si>
  <si>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</si>
  <si>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</si>
  <si>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</si>
  <si>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</si>
  <si>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</si>
  <si>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</si>
  <si>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</si>
  <si>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</si>
  <si>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</si>
  <si>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</si>
  <si>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</si>
  <si>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</si>
  <si>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</si>
  <si>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</si>
  <si>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</si>
  <si>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</si>
  <si>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</si>
  <si>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</si>
  <si>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</si>
  <si>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</si>
  <si>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</si>
  <si>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</si>
  <si>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</si>
  <si>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</si>
  <si>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</si>
  <si>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</si>
  <si>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</si>
  <si>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</si>
  <si>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</si>
  <si>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</si>
  <si>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</si>
  <si>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</si>
  <si>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</si>
  <si>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</si>
  <si>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</si>
  <si>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</si>
  <si>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</si>
  <si>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</si>
  <si>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</si>
  <si>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</si>
  <si>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</si>
  <si>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</si>
  <si>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</si>
  <si>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</si>
  <si>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</si>
  <si>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</si>
  <si>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</si>
  <si>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</si>
  <si>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</si>
  <si>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</si>
  <si>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</si>
  <si>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</si>
  <si>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</si>
  <si>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</si>
  <si>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</si>
  <si>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</si>
  <si>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</si>
  <si>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</si>
  <si>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</si>
  <si>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</si>
  <si>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</si>
  <si>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</si>
  <si>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</si>
  <si>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</si>
  <si>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</si>
  <si>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</si>
  <si>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</si>
  <si>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</si>
  <si>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</si>
  <si>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</si>
  <si>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</si>
  <si>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</si>
  <si>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</si>
  <si>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</si>
  <si>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</si>
  <si>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</si>
  <si>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</si>
  <si>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</si>
  <si>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</si>
  <si>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</si>
  <si>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</si>
  <si>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</si>
  <si>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</si>
  <si>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</si>
  <si>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</si>
  <si>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</si>
  <si>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</si>
  <si>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</si>
  <si>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</si>
  <si>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</si>
  <si>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</si>
  <si>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</si>
  <si>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</si>
  <si>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</si>
  <si>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</si>
  <si>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</si>
  <si>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</si>
  <si>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</si>
  <si>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</si>
  <si>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</si>
  <si>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</si>
  <si>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</si>
  <si>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</si>
  <si>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</si>
  <si>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</si>
  <si>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</si>
  <si>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</si>
  <si>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</si>
  <si>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</si>
  <si>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</si>
  <si>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</si>
  <si>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</si>
  <si>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</si>
  <si>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</si>
  <si>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</si>
  <si>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</si>
  <si>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</si>
  <si>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</si>
  <si>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</si>
  <si>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</si>
  <si>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</si>
  <si>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</si>
  <si>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</si>
  <si>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</si>
  <si>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</si>
  <si>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</si>
  <si>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</si>
  <si>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</si>
  <si>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</si>
  <si>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</si>
  <si>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</si>
  <si>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</si>
  <si>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</si>
  <si>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</si>
  <si>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</si>
  <si>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</si>
  <si>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</si>
  <si>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</si>
  <si>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</si>
  <si>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</si>
  <si>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</si>
  <si>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</si>
  <si>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</si>
  <si>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</si>
  <si>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</si>
  <si>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</si>
  <si>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</si>
  <si>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</si>
  <si>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</si>
  <si>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</si>
  <si>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</si>
  <si>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</si>
  <si>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</si>
  <si>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</si>
  <si>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</si>
  <si>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</si>
  <si>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</si>
  <si>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</si>
  <si>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</si>
  <si>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</si>
  <si>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</si>
  <si>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</si>
  <si>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</si>
  <si>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</si>
  <si>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</si>
  <si>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</si>
  <si>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</si>
  <si>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</si>
  <si>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</si>
  <si>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</si>
  <si>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</si>
  <si>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</si>
  <si>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</si>
  <si>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</si>
  <si>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</si>
  <si>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</si>
  <si>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</si>
  <si>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</si>
  <si>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</si>
  <si>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</si>
  <si>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</si>
  <si>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</si>
  <si>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</si>
  <si>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</si>
  <si>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</si>
  <si>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</si>
  <si>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</si>
  <si>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</si>
  <si>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</si>
  <si>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</si>
  <si>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</si>
  <si>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</si>
  <si>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</si>
  <si>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</si>
  <si>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</si>
  <si>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</si>
  <si>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</si>
  <si>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</si>
  <si>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</si>
  <si>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</si>
  <si>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</si>
  <si>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</si>
  <si>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</si>
  <si>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</si>
  <si>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</si>
  <si>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</si>
  <si>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33040</t>
  </si>
  <si>
    <t>LANGEMARK-POELKAPELLE</t>
  </si>
  <si>
    <t>Paarden&amp;pony's 200 - 600 kg</t>
  </si>
  <si>
    <t>Paarden&amp;pony's &lt; 200 kg</t>
  </si>
  <si>
    <t>Fluvius</t>
  </si>
  <si>
    <t>referentietaak LNE (2017); Jaarverslag De Lijn</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</si>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</sst>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33040</v>
      </c>
      <c r="B6" s="386"/>
      <c r="C6" s="387"/>
    </row>
    <row r="7" spans="1:7" s="384" customFormat="1" ht="15.75" customHeight="1">
      <c r="A7" s="388" t="str">
        <f>txtMunicipality</f>
        <v>LANGEMARK-POELKAPELLE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7591.6301824863131</v>
      </c>
      <c r="D10" s="676">
        <f ca="1">tertiair!C16</f>
        <v>0</v>
      </c>
      <c r="E10" s="676">
        <f ca="1">tertiair!D16</f>
        <v>4982.9282605929893</v>
      </c>
      <c r="F10" s="676">
        <f>tertiair!E16</f>
        <v>62.660986900366879</v>
      </c>
      <c r="G10" s="676">
        <f ca="1">tertiair!F16</f>
        <v>1297.3910308172617</v>
      </c>
      <c r="H10" s="676">
        <f>tertiair!G16</f>
        <v>0</v>
      </c>
      <c r="I10" s="676">
        <f>tertiair!H16</f>
        <v>0</v>
      </c>
      <c r="J10" s="676">
        <f>tertiair!I16</f>
        <v>0</v>
      </c>
      <c r="K10" s="676">
        <f>tertiair!J16</f>
        <v>0</v>
      </c>
      <c r="L10" s="676">
        <f>tertiair!K16</f>
        <v>0</v>
      </c>
      <c r="M10" s="676">
        <f ca="1">tertiair!L16</f>
        <v>0</v>
      </c>
      <c r="N10" s="676">
        <f>tertiair!M16</f>
        <v>0</v>
      </c>
      <c r="O10" s="676">
        <f ca="1">tertiair!N16</f>
        <v>242.78145965180332</v>
      </c>
      <c r="P10" s="676">
        <f>tertiair!O16</f>
        <v>0</v>
      </c>
      <c r="Q10" s="677">
        <f>tertiair!P16</f>
        <v>19.066666666666666</v>
      </c>
      <c r="R10" s="679">
        <f ca="1">SUM(C10:Q10)</f>
        <v>14196.458587115401</v>
      </c>
      <c r="S10" s="68"/>
    </row>
    <row r="11" spans="1:19" s="445" customFormat="1">
      <c r="A11" s="791" t="s">
        <v>220</v>
      </c>
      <c r="B11" s="796"/>
      <c r="C11" s="676">
        <f>huishoudens!B8</f>
        <v>14526.093444979342</v>
      </c>
      <c r="D11" s="676">
        <f>huishoudens!C8</f>
        <v>0</v>
      </c>
      <c r="E11" s="676">
        <f>huishoudens!D8</f>
        <v>18553.285497062385</v>
      </c>
      <c r="F11" s="676">
        <f>huishoudens!E8</f>
        <v>1009.4514181663505</v>
      </c>
      <c r="G11" s="676">
        <f>huishoudens!F8</f>
        <v>30775.243003767137</v>
      </c>
      <c r="H11" s="676">
        <f>huishoudens!G8</f>
        <v>0</v>
      </c>
      <c r="I11" s="676">
        <f>huishoudens!H8</f>
        <v>0</v>
      </c>
      <c r="J11" s="676">
        <f>huishoudens!I8</f>
        <v>0</v>
      </c>
      <c r="K11" s="676">
        <f>huishoudens!J8</f>
        <v>558.40606079814097</v>
      </c>
      <c r="L11" s="676">
        <f>huishoudens!K8</f>
        <v>0</v>
      </c>
      <c r="M11" s="676">
        <f>huishoudens!L8</f>
        <v>0</v>
      </c>
      <c r="N11" s="676">
        <f>huishoudens!M8</f>
        <v>0</v>
      </c>
      <c r="O11" s="676">
        <f>huishoudens!N8</f>
        <v>4794.673798277493</v>
      </c>
      <c r="P11" s="676">
        <f>huishoudens!O8</f>
        <v>68.786666666666676</v>
      </c>
      <c r="Q11" s="677">
        <f>huishoudens!P8</f>
        <v>76.266666666666666</v>
      </c>
      <c r="R11" s="679">
        <f>SUM(C11:Q11)</f>
        <v>70362.206556384175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27349.62727242224</v>
      </c>
      <c r="D13" s="676">
        <f>industrie!C18</f>
        <v>0</v>
      </c>
      <c r="E13" s="676">
        <f>industrie!D18</f>
        <v>242748.8448884486</v>
      </c>
      <c r="F13" s="676">
        <f>industrie!E18</f>
        <v>250.13145605277001</v>
      </c>
      <c r="G13" s="676">
        <f>industrie!F18</f>
        <v>5130.2603752944706</v>
      </c>
      <c r="H13" s="676">
        <f>industrie!G18</f>
        <v>0</v>
      </c>
      <c r="I13" s="676">
        <f>industrie!H18</f>
        <v>0</v>
      </c>
      <c r="J13" s="676">
        <f>industrie!I18</f>
        <v>0</v>
      </c>
      <c r="K13" s="676">
        <f>industrie!J18</f>
        <v>101.60105129315689</v>
      </c>
      <c r="L13" s="676">
        <f>industrie!K18</f>
        <v>0</v>
      </c>
      <c r="M13" s="676">
        <f>industrie!L18</f>
        <v>0</v>
      </c>
      <c r="N13" s="676">
        <f>industrie!M18</f>
        <v>0</v>
      </c>
      <c r="O13" s="676">
        <f>industrie!N18</f>
        <v>762.10525469455888</v>
      </c>
      <c r="P13" s="676">
        <f>industrie!O18</f>
        <v>0</v>
      </c>
      <c r="Q13" s="677">
        <f>industrie!P18</f>
        <v>0</v>
      </c>
      <c r="R13" s="679">
        <f>SUM(C13:Q13)</f>
        <v>276342.57029820583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49467.350899887897</v>
      </c>
      <c r="D16" s="709">
        <f t="shared" ref="D16:R16" ca="1" si="0">SUM(D9:D15)</f>
        <v>0</v>
      </c>
      <c r="E16" s="709">
        <f t="shared" ca="1" si="0"/>
        <v>266285.05864610395</v>
      </c>
      <c r="F16" s="709">
        <f t="shared" si="0"/>
        <v>1322.2438611194875</v>
      </c>
      <c r="G16" s="709">
        <f t="shared" ca="1" si="0"/>
        <v>37202.894409878871</v>
      </c>
      <c r="H16" s="709">
        <f t="shared" si="0"/>
        <v>0</v>
      </c>
      <c r="I16" s="709">
        <f t="shared" si="0"/>
        <v>0</v>
      </c>
      <c r="J16" s="709">
        <f t="shared" si="0"/>
        <v>0</v>
      </c>
      <c r="K16" s="709">
        <f t="shared" si="0"/>
        <v>660.00711209129781</v>
      </c>
      <c r="L16" s="709">
        <f t="shared" si="0"/>
        <v>0</v>
      </c>
      <c r="M16" s="709">
        <f t="shared" ca="1" si="0"/>
        <v>0</v>
      </c>
      <c r="N16" s="709">
        <f t="shared" si="0"/>
        <v>0</v>
      </c>
      <c r="O16" s="709">
        <f t="shared" ca="1" si="0"/>
        <v>5799.5605126238552</v>
      </c>
      <c r="P16" s="709">
        <f t="shared" si="0"/>
        <v>68.786666666666676</v>
      </c>
      <c r="Q16" s="709">
        <f t="shared" si="0"/>
        <v>95.333333333333329</v>
      </c>
      <c r="R16" s="709">
        <f t="shared" ca="1" si="0"/>
        <v>360901.23544170539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5.2819030764345163</v>
      </c>
      <c r="D19" s="676">
        <f>transport!C54</f>
        <v>0</v>
      </c>
      <c r="E19" s="676">
        <f>transport!D54</f>
        <v>0</v>
      </c>
      <c r="F19" s="676">
        <f>transport!E54</f>
        <v>0</v>
      </c>
      <c r="G19" s="676">
        <f>transport!F54</f>
        <v>0</v>
      </c>
      <c r="H19" s="676">
        <f>transport!G54</f>
        <v>1053.4859822119408</v>
      </c>
      <c r="I19" s="676">
        <f>transport!H54</f>
        <v>0</v>
      </c>
      <c r="J19" s="676">
        <f>transport!I54</f>
        <v>0</v>
      </c>
      <c r="K19" s="676">
        <f>transport!J54</f>
        <v>0</v>
      </c>
      <c r="L19" s="676">
        <f>transport!K54</f>
        <v>0</v>
      </c>
      <c r="M19" s="676">
        <f>transport!L54</f>
        <v>0</v>
      </c>
      <c r="N19" s="676">
        <f>transport!M54</f>
        <v>46.562958388213389</v>
      </c>
      <c r="O19" s="676">
        <f>transport!N54</f>
        <v>0</v>
      </c>
      <c r="P19" s="676">
        <f>transport!O54</f>
        <v>0</v>
      </c>
      <c r="Q19" s="677">
        <f>transport!P54</f>
        <v>0</v>
      </c>
      <c r="R19" s="679">
        <f>SUM(C19:Q19)</f>
        <v>1105.3308436765888</v>
      </c>
      <c r="S19" s="68"/>
    </row>
    <row r="20" spans="1:19" s="445" customFormat="1">
      <c r="A20" s="791" t="s">
        <v>302</v>
      </c>
      <c r="B20" s="796"/>
      <c r="C20" s="676">
        <f>transport!B14</f>
        <v>2.1150340411985327</v>
      </c>
      <c r="D20" s="676">
        <f>transport!C14</f>
        <v>0</v>
      </c>
      <c r="E20" s="676">
        <f>transport!D14</f>
        <v>3.0126448261085352</v>
      </c>
      <c r="F20" s="676">
        <f>transport!E14</f>
        <v>190.84460187143267</v>
      </c>
      <c r="G20" s="676">
        <f>transport!F14</f>
        <v>0</v>
      </c>
      <c r="H20" s="676">
        <f>transport!G14</f>
        <v>40103.582177238073</v>
      </c>
      <c r="I20" s="676">
        <f>transport!H14</f>
        <v>7173.2523953993832</v>
      </c>
      <c r="J20" s="676">
        <f>transport!I14</f>
        <v>0</v>
      </c>
      <c r="K20" s="676">
        <f>transport!J14</f>
        <v>0</v>
      </c>
      <c r="L20" s="676">
        <f>transport!K14</f>
        <v>0</v>
      </c>
      <c r="M20" s="676">
        <f>transport!L14</f>
        <v>0</v>
      </c>
      <c r="N20" s="676">
        <f>transport!M14</f>
        <v>2113.0095592163866</v>
      </c>
      <c r="O20" s="676">
        <f>transport!N14</f>
        <v>0</v>
      </c>
      <c r="P20" s="676">
        <f>transport!O14</f>
        <v>0</v>
      </c>
      <c r="Q20" s="677">
        <f>transport!P14</f>
        <v>0</v>
      </c>
      <c r="R20" s="679">
        <f>SUM(C20:Q20)</f>
        <v>49585.816412592576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7.3969371176330494</v>
      </c>
      <c r="D22" s="794">
        <f t="shared" ref="D22:R22" si="1">SUM(D18:D21)</f>
        <v>0</v>
      </c>
      <c r="E22" s="794">
        <f t="shared" si="1"/>
        <v>3.0126448261085352</v>
      </c>
      <c r="F22" s="794">
        <f t="shared" si="1"/>
        <v>190.84460187143267</v>
      </c>
      <c r="G22" s="794">
        <f t="shared" si="1"/>
        <v>0</v>
      </c>
      <c r="H22" s="794">
        <f t="shared" si="1"/>
        <v>41157.068159450013</v>
      </c>
      <c r="I22" s="794">
        <f t="shared" si="1"/>
        <v>7173.2523953993832</v>
      </c>
      <c r="J22" s="794">
        <f t="shared" si="1"/>
        <v>0</v>
      </c>
      <c r="K22" s="794">
        <f t="shared" si="1"/>
        <v>0</v>
      </c>
      <c r="L22" s="794">
        <f t="shared" si="1"/>
        <v>0</v>
      </c>
      <c r="M22" s="794">
        <f t="shared" si="1"/>
        <v>0</v>
      </c>
      <c r="N22" s="794">
        <f t="shared" si="1"/>
        <v>2159.5725176045999</v>
      </c>
      <c r="O22" s="794">
        <f t="shared" si="1"/>
        <v>0</v>
      </c>
      <c r="P22" s="794">
        <f t="shared" si="1"/>
        <v>0</v>
      </c>
      <c r="Q22" s="794">
        <f t="shared" si="1"/>
        <v>0</v>
      </c>
      <c r="R22" s="794">
        <f t="shared" si="1"/>
        <v>50691.147256269163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4826.7862342554472</v>
      </c>
      <c r="D24" s="676">
        <f>+landbouw!C8</f>
        <v>9495</v>
      </c>
      <c r="E24" s="676">
        <f>+landbouw!D8</f>
        <v>2805.7516753946875</v>
      </c>
      <c r="F24" s="676">
        <f>+landbouw!E8</f>
        <v>45.471560379550219</v>
      </c>
      <c r="G24" s="676">
        <f>+landbouw!F8</f>
        <v>15751.405352045256</v>
      </c>
      <c r="H24" s="676">
        <f>+landbouw!G8</f>
        <v>0</v>
      </c>
      <c r="I24" s="676">
        <f>+landbouw!H8</f>
        <v>0</v>
      </c>
      <c r="J24" s="676">
        <f>+landbouw!I8</f>
        <v>0</v>
      </c>
      <c r="K24" s="676">
        <f>+landbouw!J8</f>
        <v>597.09693466113242</v>
      </c>
      <c r="L24" s="676">
        <f>+landbouw!K8</f>
        <v>0</v>
      </c>
      <c r="M24" s="676">
        <f>+landbouw!L8</f>
        <v>0</v>
      </c>
      <c r="N24" s="676">
        <f>+landbouw!M8</f>
        <v>0</v>
      </c>
      <c r="O24" s="676">
        <f>+landbouw!N8</f>
        <v>0</v>
      </c>
      <c r="P24" s="676">
        <f>+landbouw!O8</f>
        <v>0</v>
      </c>
      <c r="Q24" s="677">
        <f>+landbouw!P8</f>
        <v>0</v>
      </c>
      <c r="R24" s="679">
        <f>SUM(C24:Q24)</f>
        <v>33521.511756736072</v>
      </c>
      <c r="S24" s="68"/>
    </row>
    <row r="25" spans="1:19" s="445" customFormat="1" ht="15" thickBot="1">
      <c r="A25" s="813" t="s">
        <v>879</v>
      </c>
      <c r="B25" s="979"/>
      <c r="C25" s="980">
        <f>IF(Onbekend_ele_kWh="---",0,Onbekend_ele_kWh)/1000+IF(REST_rest_ele_kWh="---",0,REST_rest_ele_kWh)/1000</f>
        <v>1448.91191937545</v>
      </c>
      <c r="D25" s="980"/>
      <c r="E25" s="980">
        <f>IF(onbekend_gas_kWh="---",0,onbekend_gas_kWh)/1000+IF(REST_rest_gas_kWh="---",0,REST_rest_gas_kWh)/1000</f>
        <v>779.44515900696899</v>
      </c>
      <c r="F25" s="980"/>
      <c r="G25" s="980"/>
      <c r="H25" s="980"/>
      <c r="I25" s="980"/>
      <c r="J25" s="980"/>
      <c r="K25" s="980"/>
      <c r="L25" s="980"/>
      <c r="M25" s="980"/>
      <c r="N25" s="980"/>
      <c r="O25" s="980"/>
      <c r="P25" s="980"/>
      <c r="Q25" s="981"/>
      <c r="R25" s="679">
        <f>SUM(C25:Q25)</f>
        <v>2228.3570783824189</v>
      </c>
      <c r="S25" s="68"/>
    </row>
    <row r="26" spans="1:19" s="445" customFormat="1" ht="15.75" thickBot="1">
      <c r="A26" s="682" t="s">
        <v>880</v>
      </c>
      <c r="B26" s="799"/>
      <c r="C26" s="794">
        <f>SUM(C24:C25)</f>
        <v>6275.6981536308977</v>
      </c>
      <c r="D26" s="794">
        <f t="shared" ref="D26:R26" si="2">SUM(D24:D25)</f>
        <v>9495</v>
      </c>
      <c r="E26" s="794">
        <f t="shared" si="2"/>
        <v>3585.1968344016564</v>
      </c>
      <c r="F26" s="794">
        <f t="shared" si="2"/>
        <v>45.471560379550219</v>
      </c>
      <c r="G26" s="794">
        <f t="shared" si="2"/>
        <v>15751.405352045256</v>
      </c>
      <c r="H26" s="794">
        <f t="shared" si="2"/>
        <v>0</v>
      </c>
      <c r="I26" s="794">
        <f t="shared" si="2"/>
        <v>0</v>
      </c>
      <c r="J26" s="794">
        <f t="shared" si="2"/>
        <v>0</v>
      </c>
      <c r="K26" s="794">
        <f t="shared" si="2"/>
        <v>597.09693466113242</v>
      </c>
      <c r="L26" s="794">
        <f t="shared" si="2"/>
        <v>0</v>
      </c>
      <c r="M26" s="794">
        <f t="shared" si="2"/>
        <v>0</v>
      </c>
      <c r="N26" s="794">
        <f t="shared" si="2"/>
        <v>0</v>
      </c>
      <c r="O26" s="794">
        <f t="shared" si="2"/>
        <v>0</v>
      </c>
      <c r="P26" s="794">
        <f t="shared" si="2"/>
        <v>0</v>
      </c>
      <c r="Q26" s="794">
        <f t="shared" si="2"/>
        <v>0</v>
      </c>
      <c r="R26" s="794">
        <f t="shared" si="2"/>
        <v>35749.86883511849</v>
      </c>
      <c r="S26" s="68"/>
    </row>
    <row r="27" spans="1:19" s="445" customFormat="1" ht="17.25" thickTop="1" thickBot="1">
      <c r="A27" s="683" t="s">
        <v>115</v>
      </c>
      <c r="B27" s="786"/>
      <c r="C27" s="684">
        <f ca="1">C22+C16+C26</f>
        <v>55750.445990636428</v>
      </c>
      <c r="D27" s="684">
        <f t="shared" ref="D27:R27" ca="1" si="3">D22+D16+D26</f>
        <v>9495</v>
      </c>
      <c r="E27" s="684">
        <f t="shared" ca="1" si="3"/>
        <v>269873.26812533167</v>
      </c>
      <c r="F27" s="684">
        <f t="shared" si="3"/>
        <v>1558.5600233704704</v>
      </c>
      <c r="G27" s="684">
        <f t="shared" ca="1" si="3"/>
        <v>52954.299761924129</v>
      </c>
      <c r="H27" s="684">
        <f t="shared" si="3"/>
        <v>41157.068159450013</v>
      </c>
      <c r="I27" s="684">
        <f t="shared" si="3"/>
        <v>7173.2523953993832</v>
      </c>
      <c r="J27" s="684">
        <f t="shared" si="3"/>
        <v>0</v>
      </c>
      <c r="K27" s="684">
        <f t="shared" si="3"/>
        <v>1257.1040467524303</v>
      </c>
      <c r="L27" s="684">
        <f t="shared" si="3"/>
        <v>0</v>
      </c>
      <c r="M27" s="684">
        <f t="shared" ca="1" si="3"/>
        <v>0</v>
      </c>
      <c r="N27" s="684">
        <f t="shared" si="3"/>
        <v>2159.5725176045999</v>
      </c>
      <c r="O27" s="684">
        <f t="shared" ca="1" si="3"/>
        <v>5799.5605126238552</v>
      </c>
      <c r="P27" s="684">
        <f t="shared" si="3"/>
        <v>68.786666666666676</v>
      </c>
      <c r="Q27" s="684">
        <f t="shared" si="3"/>
        <v>95.333333333333329</v>
      </c>
      <c r="R27" s="684">
        <f t="shared" ca="1" si="3"/>
        <v>447342.25153309305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1594.8871305473172</v>
      </c>
      <c r="D40" s="676">
        <f ca="1">tertiair!C20</f>
        <v>0</v>
      </c>
      <c r="E40" s="676">
        <f ca="1">tertiair!D20</f>
        <v>1006.5515086397839</v>
      </c>
      <c r="F40" s="676">
        <f>tertiair!E20</f>
        <v>14.224044026383282</v>
      </c>
      <c r="G40" s="676">
        <f ca="1">tertiair!F20</f>
        <v>346.4034052282089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2962.0660884416934</v>
      </c>
    </row>
    <row r="41" spans="1:18">
      <c r="A41" s="804" t="s">
        <v>220</v>
      </c>
      <c r="B41" s="811"/>
      <c r="C41" s="676">
        <f ca="1">huishoudens!B12</f>
        <v>3051.7133916733783</v>
      </c>
      <c r="D41" s="676">
        <f ca="1">huishoudens!C12</f>
        <v>0</v>
      </c>
      <c r="E41" s="676">
        <f>huishoudens!D12</f>
        <v>3747.7636704066022</v>
      </c>
      <c r="F41" s="676">
        <f>huishoudens!E12</f>
        <v>229.14547192376159</v>
      </c>
      <c r="G41" s="676">
        <f>huishoudens!F12</f>
        <v>8216.9898820058261</v>
      </c>
      <c r="H41" s="676">
        <f>huishoudens!G12</f>
        <v>0</v>
      </c>
      <c r="I41" s="676">
        <f>huishoudens!H12</f>
        <v>0</v>
      </c>
      <c r="J41" s="676">
        <f>huishoudens!I12</f>
        <v>0</v>
      </c>
      <c r="K41" s="676">
        <f>huishoudens!J12</f>
        <v>197.67574552254189</v>
      </c>
      <c r="L41" s="676">
        <f>huishoudens!K12</f>
        <v>0</v>
      </c>
      <c r="M41" s="676">
        <f>huishoudens!L12</f>
        <v>0</v>
      </c>
      <c r="N41" s="676">
        <f>huishoudens!M12</f>
        <v>0</v>
      </c>
      <c r="O41" s="676">
        <f>huishoudens!N12</f>
        <v>0</v>
      </c>
      <c r="P41" s="676">
        <f>huishoudens!O12</f>
        <v>0</v>
      </c>
      <c r="Q41" s="751">
        <f>huishoudens!P12</f>
        <v>0</v>
      </c>
      <c r="R41" s="832">
        <f t="shared" ca="1" si="4"/>
        <v>15443.288161532109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5745.7446574098567</v>
      </c>
      <c r="D43" s="676">
        <f ca="1">industrie!C22</f>
        <v>0</v>
      </c>
      <c r="E43" s="676">
        <f>industrie!D22</f>
        <v>49035.266667466618</v>
      </c>
      <c r="F43" s="676">
        <f>industrie!E22</f>
        <v>56.779840523978791</v>
      </c>
      <c r="G43" s="676">
        <f>industrie!F22</f>
        <v>1369.7795202036236</v>
      </c>
      <c r="H43" s="676">
        <f>industrie!G22</f>
        <v>0</v>
      </c>
      <c r="I43" s="676">
        <f>industrie!H22</f>
        <v>0</v>
      </c>
      <c r="J43" s="676">
        <f>industrie!I22</f>
        <v>0</v>
      </c>
      <c r="K43" s="676">
        <f>industrie!J22</f>
        <v>35.966772157777534</v>
      </c>
      <c r="L43" s="676">
        <f>industrie!K22</f>
        <v>0</v>
      </c>
      <c r="M43" s="676">
        <f>industrie!L22</f>
        <v>0</v>
      </c>
      <c r="N43" s="676">
        <f>industrie!M22</f>
        <v>0</v>
      </c>
      <c r="O43" s="676">
        <f>industrie!N22</f>
        <v>0</v>
      </c>
      <c r="P43" s="676">
        <f>industrie!O22</f>
        <v>0</v>
      </c>
      <c r="Q43" s="751">
        <f>industrie!P22</f>
        <v>0</v>
      </c>
      <c r="R43" s="831">
        <f t="shared" ca="1" si="4"/>
        <v>56243.537457761857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10392.345179630553</v>
      </c>
      <c r="D46" s="709">
        <f t="shared" ref="D46:Q46" ca="1" si="5">SUM(D39:D45)</f>
        <v>0</v>
      </c>
      <c r="E46" s="709">
        <f t="shared" ca="1" si="5"/>
        <v>53789.581846513007</v>
      </c>
      <c r="F46" s="709">
        <f t="shared" si="5"/>
        <v>300.14935647412369</v>
      </c>
      <c r="G46" s="709">
        <f t="shared" ca="1" si="5"/>
        <v>9933.1728074376588</v>
      </c>
      <c r="H46" s="709">
        <f t="shared" si="5"/>
        <v>0</v>
      </c>
      <c r="I46" s="709">
        <f t="shared" si="5"/>
        <v>0</v>
      </c>
      <c r="J46" s="709">
        <f t="shared" si="5"/>
        <v>0</v>
      </c>
      <c r="K46" s="709">
        <f t="shared" si="5"/>
        <v>233.64251768031943</v>
      </c>
      <c r="L46" s="709">
        <f t="shared" si="5"/>
        <v>0</v>
      </c>
      <c r="M46" s="709">
        <f t="shared" ca="1" si="5"/>
        <v>0</v>
      </c>
      <c r="N46" s="709">
        <f t="shared" si="5"/>
        <v>0</v>
      </c>
      <c r="O46" s="709">
        <f t="shared" ca="1" si="5"/>
        <v>0</v>
      </c>
      <c r="P46" s="709">
        <f t="shared" si="5"/>
        <v>0</v>
      </c>
      <c r="Q46" s="709">
        <f t="shared" si="5"/>
        <v>0</v>
      </c>
      <c r="R46" s="709">
        <f ca="1">SUM(R39:R45)</f>
        <v>74648.89170773566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1.109648262482243</v>
      </c>
      <c r="D49" s="676">
        <f ca="1">transport!C58</f>
        <v>0</v>
      </c>
      <c r="E49" s="676">
        <f>transport!D58</f>
        <v>0</v>
      </c>
      <c r="F49" s="676">
        <f>transport!E58</f>
        <v>0</v>
      </c>
      <c r="G49" s="676">
        <f>transport!F58</f>
        <v>0</v>
      </c>
      <c r="H49" s="676">
        <f>transport!G58</f>
        <v>281.28075725058824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282.3904055130705</v>
      </c>
    </row>
    <row r="50" spans="1:18">
      <c r="A50" s="807" t="s">
        <v>302</v>
      </c>
      <c r="B50" s="817"/>
      <c r="C50" s="986">
        <f ca="1">transport!B18</f>
        <v>0.4443367882643966</v>
      </c>
      <c r="D50" s="986">
        <f>transport!C18</f>
        <v>0</v>
      </c>
      <c r="E50" s="986">
        <f>transport!D18</f>
        <v>0.60855425487392412</v>
      </c>
      <c r="F50" s="986">
        <f>transport!E18</f>
        <v>43.321724624815218</v>
      </c>
      <c r="G50" s="986">
        <f>transport!F18</f>
        <v>0</v>
      </c>
      <c r="H50" s="986">
        <f>transport!G18</f>
        <v>10707.656441322566</v>
      </c>
      <c r="I50" s="986">
        <f>transport!H18</f>
        <v>1786.1398464544463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12538.170903444967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1.5539850507466397</v>
      </c>
      <c r="D52" s="709">
        <f t="shared" ref="D52:Q52" ca="1" si="6">SUM(D48:D51)</f>
        <v>0</v>
      </c>
      <c r="E52" s="709">
        <f t="shared" si="6"/>
        <v>0.60855425487392412</v>
      </c>
      <c r="F52" s="709">
        <f t="shared" si="6"/>
        <v>43.321724624815218</v>
      </c>
      <c r="G52" s="709">
        <f t="shared" si="6"/>
        <v>0</v>
      </c>
      <c r="H52" s="709">
        <f t="shared" si="6"/>
        <v>10988.937198573154</v>
      </c>
      <c r="I52" s="709">
        <f t="shared" si="6"/>
        <v>1786.1398464544463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12820.561308958037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1014.0350704485649</v>
      </c>
      <c r="D54" s="986">
        <f ca="1">+landbouw!C12</f>
        <v>2256.4588235294118</v>
      </c>
      <c r="E54" s="986">
        <f>+landbouw!D12</f>
        <v>566.76183842972694</v>
      </c>
      <c r="F54" s="986">
        <f>+landbouw!E12</f>
        <v>10.3220442061579</v>
      </c>
      <c r="G54" s="986">
        <f>+landbouw!F12</f>
        <v>4205.6252289960839</v>
      </c>
      <c r="H54" s="986">
        <f>+landbouw!G12</f>
        <v>0</v>
      </c>
      <c r="I54" s="986">
        <f>+landbouw!H12</f>
        <v>0</v>
      </c>
      <c r="J54" s="986">
        <f>+landbouw!I12</f>
        <v>0</v>
      </c>
      <c r="K54" s="986">
        <f>+landbouw!J12</f>
        <v>211.37231487004087</v>
      </c>
      <c r="L54" s="986">
        <f>+landbouw!K12</f>
        <v>0</v>
      </c>
      <c r="M54" s="986">
        <f>+landbouw!L12</f>
        <v>0</v>
      </c>
      <c r="N54" s="986">
        <f>+landbouw!M12</f>
        <v>0</v>
      </c>
      <c r="O54" s="986">
        <f>+landbouw!N12</f>
        <v>0</v>
      </c>
      <c r="P54" s="986">
        <f>+landbouw!O12</f>
        <v>0</v>
      </c>
      <c r="Q54" s="987">
        <f>+landbouw!P12</f>
        <v>0</v>
      </c>
      <c r="R54" s="708">
        <f ca="1">SUM(C54:Q54)</f>
        <v>8264.5753204799857</v>
      </c>
    </row>
    <row r="55" spans="1:18" ht="15" thickBot="1">
      <c r="A55" s="807" t="s">
        <v>879</v>
      </c>
      <c r="B55" s="817"/>
      <c r="C55" s="986">
        <f ca="1">C25*'EF ele_warmte'!B12</f>
        <v>304.39456585221814</v>
      </c>
      <c r="D55" s="986"/>
      <c r="E55" s="986">
        <f>E25*EF_CO2_aardgas</f>
        <v>157.44792211940774</v>
      </c>
      <c r="F55" s="986"/>
      <c r="G55" s="986"/>
      <c r="H55" s="986"/>
      <c r="I55" s="986"/>
      <c r="J55" s="986"/>
      <c r="K55" s="986"/>
      <c r="L55" s="986"/>
      <c r="M55" s="986"/>
      <c r="N55" s="986"/>
      <c r="O55" s="986"/>
      <c r="P55" s="986"/>
      <c r="Q55" s="987"/>
      <c r="R55" s="708">
        <f ca="1">SUM(C55:Q55)</f>
        <v>461.84248797162587</v>
      </c>
    </row>
    <row r="56" spans="1:18" ht="15.75" thickBot="1">
      <c r="A56" s="805" t="s">
        <v>880</v>
      </c>
      <c r="B56" s="818"/>
      <c r="C56" s="709">
        <f ca="1">SUM(C54:C55)</f>
        <v>1318.4296363007829</v>
      </c>
      <c r="D56" s="709">
        <f t="shared" ref="D56:Q56" ca="1" si="7">SUM(D54:D55)</f>
        <v>2256.4588235294118</v>
      </c>
      <c r="E56" s="709">
        <f t="shared" si="7"/>
        <v>724.20976054913467</v>
      </c>
      <c r="F56" s="709">
        <f t="shared" si="7"/>
        <v>10.3220442061579</v>
      </c>
      <c r="G56" s="709">
        <f t="shared" si="7"/>
        <v>4205.6252289960839</v>
      </c>
      <c r="H56" s="709">
        <f t="shared" si="7"/>
        <v>0</v>
      </c>
      <c r="I56" s="709">
        <f t="shared" si="7"/>
        <v>0</v>
      </c>
      <c r="J56" s="709">
        <f t="shared" si="7"/>
        <v>0</v>
      </c>
      <c r="K56" s="709">
        <f t="shared" si="7"/>
        <v>211.37231487004087</v>
      </c>
      <c r="L56" s="709">
        <f t="shared" si="7"/>
        <v>0</v>
      </c>
      <c r="M56" s="709">
        <f t="shared" si="7"/>
        <v>0</v>
      </c>
      <c r="N56" s="709">
        <f t="shared" si="7"/>
        <v>0</v>
      </c>
      <c r="O56" s="709">
        <f t="shared" si="7"/>
        <v>0</v>
      </c>
      <c r="P56" s="709">
        <f t="shared" si="7"/>
        <v>0</v>
      </c>
      <c r="Q56" s="710">
        <f t="shared" si="7"/>
        <v>0</v>
      </c>
      <c r="R56" s="711">
        <f ca="1">SUM(R54:R55)</f>
        <v>8726.4178084516116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11712.328800982083</v>
      </c>
      <c r="D61" s="717">
        <f t="shared" ref="D61:Q61" ca="1" si="8">D46+D52+D56</f>
        <v>2256.4588235294118</v>
      </c>
      <c r="E61" s="717">
        <f t="shared" ca="1" si="8"/>
        <v>54514.400161317019</v>
      </c>
      <c r="F61" s="717">
        <f t="shared" si="8"/>
        <v>353.79312530509679</v>
      </c>
      <c r="G61" s="717">
        <f t="shared" ca="1" si="8"/>
        <v>14138.798036433742</v>
      </c>
      <c r="H61" s="717">
        <f t="shared" si="8"/>
        <v>10988.937198573154</v>
      </c>
      <c r="I61" s="717">
        <f t="shared" si="8"/>
        <v>1786.1398464544463</v>
      </c>
      <c r="J61" s="717">
        <f t="shared" si="8"/>
        <v>0</v>
      </c>
      <c r="K61" s="717">
        <f t="shared" si="8"/>
        <v>445.01483255036032</v>
      </c>
      <c r="L61" s="717">
        <f t="shared" si="8"/>
        <v>0</v>
      </c>
      <c r="M61" s="717">
        <f t="shared" ca="1" si="8"/>
        <v>0</v>
      </c>
      <c r="N61" s="717">
        <f t="shared" si="8"/>
        <v>0</v>
      </c>
      <c r="O61" s="717">
        <f t="shared" ca="1" si="8"/>
        <v>0</v>
      </c>
      <c r="P61" s="717">
        <f t="shared" si="8"/>
        <v>0</v>
      </c>
      <c r="Q61" s="717">
        <f t="shared" si="8"/>
        <v>0</v>
      </c>
      <c r="R61" s="717">
        <f ca="1">R46+R52+R56</f>
        <v>96195.870825145321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0.21008493462006075</v>
      </c>
      <c r="D63" s="761">
        <f t="shared" ca="1" si="9"/>
        <v>0.23764705882352941</v>
      </c>
      <c r="E63" s="988">
        <f t="shared" ca="1" si="9"/>
        <v>0.20200000000000007</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3254.1377349283057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6646.5</v>
      </c>
      <c r="D76" s="998">
        <f>'lokale energieproductie'!C8</f>
        <v>7819.411764705882</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1579.5211764705882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3254.1377349283057</v>
      </c>
      <c r="C78" s="732">
        <f>SUM(C72:C77)</f>
        <v>6646.5</v>
      </c>
      <c r="D78" s="733">
        <f t="shared" ref="D78:H78" si="10">SUM(D76:D77)</f>
        <v>7819.411764705882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1579.5211764705882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9495</v>
      </c>
      <c r="D87" s="754">
        <f>'lokale energieproductie'!C17</f>
        <v>11170.588235294117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2256.4588235294118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9495</v>
      </c>
      <c r="D90" s="732">
        <f t="shared" ref="D90:H90" si="12">SUM(D87:D89)</f>
        <v>11170.588235294117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2256.4588235294118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14526.093444979342</v>
      </c>
      <c r="C4" s="449">
        <f>huishoudens!C8</f>
        <v>0</v>
      </c>
      <c r="D4" s="449">
        <f>huishoudens!D8</f>
        <v>18553.285497062385</v>
      </c>
      <c r="E4" s="449">
        <f>huishoudens!E8</f>
        <v>1009.4514181663505</v>
      </c>
      <c r="F4" s="449">
        <f>huishoudens!F8</f>
        <v>30775.243003767137</v>
      </c>
      <c r="G4" s="449">
        <f>huishoudens!G8</f>
        <v>0</v>
      </c>
      <c r="H4" s="449">
        <f>huishoudens!H8</f>
        <v>0</v>
      </c>
      <c r="I4" s="449">
        <f>huishoudens!I8</f>
        <v>0</v>
      </c>
      <c r="J4" s="449">
        <f>huishoudens!J8</f>
        <v>558.40606079814097</v>
      </c>
      <c r="K4" s="449">
        <f>huishoudens!K8</f>
        <v>0</v>
      </c>
      <c r="L4" s="449">
        <f>huishoudens!L8</f>
        <v>0</v>
      </c>
      <c r="M4" s="449">
        <f>huishoudens!M8</f>
        <v>0</v>
      </c>
      <c r="N4" s="449">
        <f>huishoudens!N8</f>
        <v>4794.673798277493</v>
      </c>
      <c r="O4" s="449">
        <f>huishoudens!O8</f>
        <v>68.786666666666676</v>
      </c>
      <c r="P4" s="450">
        <f>huishoudens!P8</f>
        <v>76.266666666666666</v>
      </c>
      <c r="Q4" s="451">
        <f>SUM(B4:P4)</f>
        <v>70362.206556384175</v>
      </c>
    </row>
    <row r="5" spans="1:17">
      <c r="A5" s="448" t="s">
        <v>155</v>
      </c>
      <c r="B5" s="449">
        <f ca="1">tertiair!B16</f>
        <v>6843.929182486313</v>
      </c>
      <c r="C5" s="449">
        <f ca="1">tertiair!C16</f>
        <v>0</v>
      </c>
      <c r="D5" s="449">
        <f ca="1">tertiair!D16</f>
        <v>4982.9282605929893</v>
      </c>
      <c r="E5" s="449">
        <f>tertiair!E16</f>
        <v>62.660986900366879</v>
      </c>
      <c r="F5" s="449">
        <f ca="1">tertiair!F16</f>
        <v>1297.3910308172617</v>
      </c>
      <c r="G5" s="449">
        <f>tertiair!G16</f>
        <v>0</v>
      </c>
      <c r="H5" s="449">
        <f>tertiair!H16</f>
        <v>0</v>
      </c>
      <c r="I5" s="449">
        <f>tertiair!I16</f>
        <v>0</v>
      </c>
      <c r="J5" s="449">
        <f>tertiair!J16</f>
        <v>0</v>
      </c>
      <c r="K5" s="449">
        <f>tertiair!K16</f>
        <v>0</v>
      </c>
      <c r="L5" s="449">
        <f ca="1">tertiair!L16</f>
        <v>0</v>
      </c>
      <c r="M5" s="449">
        <f>tertiair!M16</f>
        <v>0</v>
      </c>
      <c r="N5" s="449">
        <f ca="1">tertiair!N16</f>
        <v>242.78145965180332</v>
      </c>
      <c r="O5" s="449">
        <f>tertiair!O16</f>
        <v>0</v>
      </c>
      <c r="P5" s="450">
        <f>tertiair!P16</f>
        <v>19.066666666666666</v>
      </c>
      <c r="Q5" s="448">
        <f t="shared" ref="Q5:Q14" ca="1" si="0">SUM(B5:P5)</f>
        <v>13448.7575871154</v>
      </c>
    </row>
    <row r="6" spans="1:17">
      <c r="A6" s="448" t="s">
        <v>193</v>
      </c>
      <c r="B6" s="449">
        <f>'openbare verlichting'!B8</f>
        <v>747.70100000000002</v>
      </c>
      <c r="C6" s="449"/>
      <c r="D6" s="449"/>
      <c r="E6" s="449"/>
      <c r="F6" s="449"/>
      <c r="G6" s="449"/>
      <c r="H6" s="449"/>
      <c r="I6" s="449"/>
      <c r="J6" s="449"/>
      <c r="K6" s="449"/>
      <c r="L6" s="449"/>
      <c r="M6" s="449"/>
      <c r="N6" s="449"/>
      <c r="O6" s="449"/>
      <c r="P6" s="450"/>
      <c r="Q6" s="448">
        <f t="shared" si="0"/>
        <v>747.70100000000002</v>
      </c>
    </row>
    <row r="7" spans="1:17">
      <c r="A7" s="448" t="s">
        <v>111</v>
      </c>
      <c r="B7" s="449">
        <f>landbouw!B8</f>
        <v>4826.7862342554472</v>
      </c>
      <c r="C7" s="449">
        <f>landbouw!C8</f>
        <v>9495</v>
      </c>
      <c r="D7" s="449">
        <f>landbouw!D8</f>
        <v>2805.7516753946875</v>
      </c>
      <c r="E7" s="449">
        <f>landbouw!E8</f>
        <v>45.471560379550219</v>
      </c>
      <c r="F7" s="449">
        <f>landbouw!F8</f>
        <v>15751.405352045256</v>
      </c>
      <c r="G7" s="449">
        <f>landbouw!G8</f>
        <v>0</v>
      </c>
      <c r="H7" s="449">
        <f>landbouw!H8</f>
        <v>0</v>
      </c>
      <c r="I7" s="449">
        <f>landbouw!I8</f>
        <v>0</v>
      </c>
      <c r="J7" s="449">
        <f>landbouw!J8</f>
        <v>597.09693466113242</v>
      </c>
      <c r="K7" s="449">
        <f>landbouw!K8</f>
        <v>0</v>
      </c>
      <c r="L7" s="449">
        <f>landbouw!L8</f>
        <v>0</v>
      </c>
      <c r="M7" s="449">
        <f>landbouw!M8</f>
        <v>0</v>
      </c>
      <c r="N7" s="449">
        <f>landbouw!N8</f>
        <v>0</v>
      </c>
      <c r="O7" s="449">
        <f>landbouw!O8</f>
        <v>0</v>
      </c>
      <c r="P7" s="450">
        <f>landbouw!P8</f>
        <v>0</v>
      </c>
      <c r="Q7" s="448">
        <f t="shared" si="0"/>
        <v>33521.511756736072</v>
      </c>
    </row>
    <row r="8" spans="1:17">
      <c r="A8" s="448" t="s">
        <v>671</v>
      </c>
      <c r="B8" s="449">
        <f>industrie!B18</f>
        <v>27349.62727242224</v>
      </c>
      <c r="C8" s="449">
        <f>industrie!C18</f>
        <v>0</v>
      </c>
      <c r="D8" s="449">
        <f>industrie!D18</f>
        <v>242748.8448884486</v>
      </c>
      <c r="E8" s="449">
        <f>industrie!E18</f>
        <v>250.13145605277001</v>
      </c>
      <c r="F8" s="449">
        <f>industrie!F18</f>
        <v>5130.2603752944706</v>
      </c>
      <c r="G8" s="449">
        <f>industrie!G18</f>
        <v>0</v>
      </c>
      <c r="H8" s="449">
        <f>industrie!H18</f>
        <v>0</v>
      </c>
      <c r="I8" s="449">
        <f>industrie!I18</f>
        <v>0</v>
      </c>
      <c r="J8" s="449">
        <f>industrie!J18</f>
        <v>101.60105129315689</v>
      </c>
      <c r="K8" s="449">
        <f>industrie!K18</f>
        <v>0</v>
      </c>
      <c r="L8" s="449">
        <f>industrie!L18</f>
        <v>0</v>
      </c>
      <c r="M8" s="449">
        <f>industrie!M18</f>
        <v>0</v>
      </c>
      <c r="N8" s="449">
        <f>industrie!N18</f>
        <v>762.10525469455888</v>
      </c>
      <c r="O8" s="449">
        <f>industrie!O18</f>
        <v>0</v>
      </c>
      <c r="P8" s="450">
        <f>industrie!P18</f>
        <v>0</v>
      </c>
      <c r="Q8" s="448">
        <f t="shared" si="0"/>
        <v>276342.57029820583</v>
      </c>
    </row>
    <row r="9" spans="1:17" s="454" customFormat="1">
      <c r="A9" s="452" t="s">
        <v>568</v>
      </c>
      <c r="B9" s="453">
        <f>transport!B14</f>
        <v>2.1150340411985327</v>
      </c>
      <c r="C9" s="453">
        <f>transport!C14</f>
        <v>0</v>
      </c>
      <c r="D9" s="453">
        <f>transport!D14</f>
        <v>3.0126448261085352</v>
      </c>
      <c r="E9" s="453">
        <f>transport!E14</f>
        <v>190.84460187143267</v>
      </c>
      <c r="F9" s="453">
        <f>transport!F14</f>
        <v>0</v>
      </c>
      <c r="G9" s="453">
        <f>transport!G14</f>
        <v>40103.582177238073</v>
      </c>
      <c r="H9" s="453">
        <f>transport!H14</f>
        <v>7173.2523953993832</v>
      </c>
      <c r="I9" s="453">
        <f>transport!I14</f>
        <v>0</v>
      </c>
      <c r="J9" s="453">
        <f>transport!J14</f>
        <v>0</v>
      </c>
      <c r="K9" s="453">
        <f>transport!K14</f>
        <v>0</v>
      </c>
      <c r="L9" s="453">
        <f>transport!L14</f>
        <v>0</v>
      </c>
      <c r="M9" s="453">
        <f>transport!M14</f>
        <v>2113.0095592163866</v>
      </c>
      <c r="N9" s="453">
        <f>transport!N14</f>
        <v>0</v>
      </c>
      <c r="O9" s="453">
        <f>transport!O14</f>
        <v>0</v>
      </c>
      <c r="P9" s="453">
        <f>transport!P14</f>
        <v>0</v>
      </c>
      <c r="Q9" s="452">
        <f>SUM(B9:P9)</f>
        <v>49585.816412592576</v>
      </c>
    </row>
    <row r="10" spans="1:17">
      <c r="A10" s="448" t="s">
        <v>558</v>
      </c>
      <c r="B10" s="449">
        <f>transport!B54</f>
        <v>5.2819030764345163</v>
      </c>
      <c r="C10" s="449">
        <f>transport!C54</f>
        <v>0</v>
      </c>
      <c r="D10" s="449">
        <f>transport!D54</f>
        <v>0</v>
      </c>
      <c r="E10" s="449">
        <f>transport!E54</f>
        <v>0</v>
      </c>
      <c r="F10" s="449">
        <f>transport!F54</f>
        <v>0</v>
      </c>
      <c r="G10" s="449">
        <f>transport!G54</f>
        <v>1053.4859822119408</v>
      </c>
      <c r="H10" s="449">
        <f>transport!H54</f>
        <v>0</v>
      </c>
      <c r="I10" s="449">
        <f>transport!I54</f>
        <v>0</v>
      </c>
      <c r="J10" s="449">
        <f>transport!J54</f>
        <v>0</v>
      </c>
      <c r="K10" s="449">
        <f>transport!K54</f>
        <v>0</v>
      </c>
      <c r="L10" s="449">
        <f>transport!L54</f>
        <v>0</v>
      </c>
      <c r="M10" s="449">
        <f>transport!M54</f>
        <v>46.562958388213389</v>
      </c>
      <c r="N10" s="449">
        <f>transport!N54</f>
        <v>0</v>
      </c>
      <c r="O10" s="449">
        <f>transport!O54</f>
        <v>0</v>
      </c>
      <c r="P10" s="450">
        <f>transport!P54</f>
        <v>0</v>
      </c>
      <c r="Q10" s="448">
        <f t="shared" si="0"/>
        <v>1105.3308436765888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1448.91191937545</v>
      </c>
      <c r="C14" s="456"/>
      <c r="D14" s="456">
        <f>'SEAP template'!E25</f>
        <v>779.44515900696899</v>
      </c>
      <c r="E14" s="456"/>
      <c r="F14" s="456"/>
      <c r="G14" s="456"/>
      <c r="H14" s="456"/>
      <c r="I14" s="456"/>
      <c r="J14" s="456"/>
      <c r="K14" s="456"/>
      <c r="L14" s="456"/>
      <c r="M14" s="456"/>
      <c r="N14" s="456"/>
      <c r="O14" s="456"/>
      <c r="P14" s="457"/>
      <c r="Q14" s="448">
        <f t="shared" si="0"/>
        <v>2228.3570783824189</v>
      </c>
    </row>
    <row r="15" spans="1:17" s="461" customFormat="1">
      <c r="A15" s="458" t="s">
        <v>562</v>
      </c>
      <c r="B15" s="459">
        <f ca="1">SUM(B4:B14)</f>
        <v>55750.445990636428</v>
      </c>
      <c r="C15" s="459">
        <f t="shared" ref="C15:Q15" ca="1" si="1">SUM(C4:C14)</f>
        <v>9495</v>
      </c>
      <c r="D15" s="459">
        <f t="shared" ca="1" si="1"/>
        <v>269873.26812533173</v>
      </c>
      <c r="E15" s="459">
        <f t="shared" si="1"/>
        <v>1558.5600233704704</v>
      </c>
      <c r="F15" s="459">
        <f t="shared" ca="1" si="1"/>
        <v>52954.299761924129</v>
      </c>
      <c r="G15" s="459">
        <f t="shared" si="1"/>
        <v>41157.068159450013</v>
      </c>
      <c r="H15" s="459">
        <f t="shared" si="1"/>
        <v>7173.2523953993832</v>
      </c>
      <c r="I15" s="459">
        <f t="shared" si="1"/>
        <v>0</v>
      </c>
      <c r="J15" s="459">
        <f t="shared" si="1"/>
        <v>1257.1040467524301</v>
      </c>
      <c r="K15" s="459">
        <f t="shared" si="1"/>
        <v>0</v>
      </c>
      <c r="L15" s="459">
        <f t="shared" ca="1" si="1"/>
        <v>0</v>
      </c>
      <c r="M15" s="459">
        <f t="shared" si="1"/>
        <v>2159.5725176045999</v>
      </c>
      <c r="N15" s="459">
        <f t="shared" ca="1" si="1"/>
        <v>5799.5605126238552</v>
      </c>
      <c r="O15" s="459">
        <f t="shared" si="1"/>
        <v>68.786666666666676</v>
      </c>
      <c r="P15" s="459">
        <f t="shared" si="1"/>
        <v>95.333333333333329</v>
      </c>
      <c r="Q15" s="459">
        <f t="shared" ca="1" si="1"/>
        <v>447342.25153309305</v>
      </c>
    </row>
    <row r="17" spans="1:17">
      <c r="A17" s="462" t="s">
        <v>563</v>
      </c>
      <c r="B17" s="766">
        <f ca="1">huishoudens!B10</f>
        <v>0.21008493462006075</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3051.7133916733783</v>
      </c>
      <c r="C22" s="449">
        <f t="shared" ref="C22:C32" ca="1" si="3">C4*$C$17</f>
        <v>0</v>
      </c>
      <c r="D22" s="449">
        <f t="shared" ref="D22:D32" si="4">D4*$D$17</f>
        <v>3747.7636704066022</v>
      </c>
      <c r="E22" s="449">
        <f t="shared" ref="E22:E32" si="5">E4*$E$17</f>
        <v>229.14547192376159</v>
      </c>
      <c r="F22" s="449">
        <f t="shared" ref="F22:F32" si="6">F4*$F$17</f>
        <v>8216.9898820058261</v>
      </c>
      <c r="G22" s="449">
        <f t="shared" ref="G22:G32" si="7">G4*$G$17</f>
        <v>0</v>
      </c>
      <c r="H22" s="449">
        <f t="shared" ref="H22:H32" si="8">H4*$H$17</f>
        <v>0</v>
      </c>
      <c r="I22" s="449">
        <f t="shared" ref="I22:I32" si="9">I4*$I$17</f>
        <v>0</v>
      </c>
      <c r="J22" s="449">
        <f t="shared" ref="J22:J32" si="10">J4*$J$17</f>
        <v>197.67574552254189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15443.288161532109</v>
      </c>
    </row>
    <row r="23" spans="1:17">
      <c r="A23" s="448" t="s">
        <v>155</v>
      </c>
      <c r="B23" s="449">
        <f t="shared" ca="1" si="2"/>
        <v>1437.806414846963</v>
      </c>
      <c r="C23" s="449">
        <f t="shared" ca="1" si="3"/>
        <v>0</v>
      </c>
      <c r="D23" s="449">
        <f t="shared" ca="1" si="4"/>
        <v>1006.5515086397839</v>
      </c>
      <c r="E23" s="449">
        <f t="shared" si="5"/>
        <v>14.224044026383282</v>
      </c>
      <c r="F23" s="449">
        <f t="shared" ca="1" si="6"/>
        <v>346.4034052282089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2804.9853727413392</v>
      </c>
    </row>
    <row r="24" spans="1:17">
      <c r="A24" s="448" t="s">
        <v>193</v>
      </c>
      <c r="B24" s="449">
        <f t="shared" ca="1" si="2"/>
        <v>157.08071570035406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157.08071570035406</v>
      </c>
    </row>
    <row r="25" spans="1:17">
      <c r="A25" s="448" t="s">
        <v>111</v>
      </c>
      <c r="B25" s="449">
        <f t="shared" ca="1" si="2"/>
        <v>1014.0350704485649</v>
      </c>
      <c r="C25" s="449">
        <f t="shared" ca="1" si="3"/>
        <v>2256.4588235294118</v>
      </c>
      <c r="D25" s="449">
        <f t="shared" si="4"/>
        <v>566.76183842972694</v>
      </c>
      <c r="E25" s="449">
        <f t="shared" si="5"/>
        <v>10.3220442061579</v>
      </c>
      <c r="F25" s="449">
        <f t="shared" si="6"/>
        <v>4205.6252289960839</v>
      </c>
      <c r="G25" s="449">
        <f t="shared" si="7"/>
        <v>0</v>
      </c>
      <c r="H25" s="449">
        <f t="shared" si="8"/>
        <v>0</v>
      </c>
      <c r="I25" s="449">
        <f t="shared" si="9"/>
        <v>0</v>
      </c>
      <c r="J25" s="449">
        <f t="shared" si="10"/>
        <v>211.37231487004087</v>
      </c>
      <c r="K25" s="449">
        <f t="shared" si="11"/>
        <v>0</v>
      </c>
      <c r="L25" s="449">
        <f t="shared" si="12"/>
        <v>0</v>
      </c>
      <c r="M25" s="449">
        <f t="shared" si="13"/>
        <v>0</v>
      </c>
      <c r="N25" s="449">
        <f t="shared" si="14"/>
        <v>0</v>
      </c>
      <c r="O25" s="449">
        <f t="shared" si="15"/>
        <v>0</v>
      </c>
      <c r="P25" s="450">
        <f t="shared" si="16"/>
        <v>0</v>
      </c>
      <c r="Q25" s="448">
        <f t="shared" ca="1" si="17"/>
        <v>8264.5753204799857</v>
      </c>
    </row>
    <row r="26" spans="1:17">
      <c r="A26" s="448" t="s">
        <v>671</v>
      </c>
      <c r="B26" s="449">
        <f t="shared" ca="1" si="2"/>
        <v>5745.7446574098567</v>
      </c>
      <c r="C26" s="449">
        <f t="shared" ca="1" si="3"/>
        <v>0</v>
      </c>
      <c r="D26" s="449">
        <f t="shared" si="4"/>
        <v>49035.266667466618</v>
      </c>
      <c r="E26" s="449">
        <f t="shared" si="5"/>
        <v>56.779840523978791</v>
      </c>
      <c r="F26" s="449">
        <f t="shared" si="6"/>
        <v>1369.7795202036236</v>
      </c>
      <c r="G26" s="449">
        <f t="shared" si="7"/>
        <v>0</v>
      </c>
      <c r="H26" s="449">
        <f t="shared" si="8"/>
        <v>0</v>
      </c>
      <c r="I26" s="449">
        <f t="shared" si="9"/>
        <v>0</v>
      </c>
      <c r="J26" s="449">
        <f t="shared" si="10"/>
        <v>35.966772157777534</v>
      </c>
      <c r="K26" s="449">
        <f t="shared" si="11"/>
        <v>0</v>
      </c>
      <c r="L26" s="449">
        <f t="shared" si="12"/>
        <v>0</v>
      </c>
      <c r="M26" s="449">
        <f t="shared" si="13"/>
        <v>0</v>
      </c>
      <c r="N26" s="449">
        <f t="shared" si="14"/>
        <v>0</v>
      </c>
      <c r="O26" s="449">
        <f t="shared" si="15"/>
        <v>0</v>
      </c>
      <c r="P26" s="450">
        <f t="shared" si="16"/>
        <v>0</v>
      </c>
      <c r="Q26" s="448">
        <f t="shared" ca="1" si="17"/>
        <v>56243.537457761857</v>
      </c>
    </row>
    <row r="27" spans="1:17" s="454" customFormat="1">
      <c r="A27" s="452" t="s">
        <v>568</v>
      </c>
      <c r="B27" s="760">
        <f t="shared" ca="1" si="2"/>
        <v>0.4443367882643966</v>
      </c>
      <c r="C27" s="453">
        <f t="shared" ca="1" si="3"/>
        <v>0</v>
      </c>
      <c r="D27" s="453">
        <f t="shared" si="4"/>
        <v>0.60855425487392412</v>
      </c>
      <c r="E27" s="453">
        <f t="shared" si="5"/>
        <v>43.321724624815218</v>
      </c>
      <c r="F27" s="453">
        <f t="shared" si="6"/>
        <v>0</v>
      </c>
      <c r="G27" s="453">
        <f t="shared" si="7"/>
        <v>10707.656441322566</v>
      </c>
      <c r="H27" s="453">
        <f t="shared" si="8"/>
        <v>1786.1398464544463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12538.170903444967</v>
      </c>
    </row>
    <row r="28" spans="1:17">
      <c r="A28" s="448" t="s">
        <v>558</v>
      </c>
      <c r="B28" s="449">
        <f t="shared" ca="1" si="2"/>
        <v>1.109648262482243</v>
      </c>
      <c r="C28" s="449">
        <f t="shared" ca="1" si="3"/>
        <v>0</v>
      </c>
      <c r="D28" s="449">
        <f t="shared" si="4"/>
        <v>0</v>
      </c>
      <c r="E28" s="449">
        <f t="shared" si="5"/>
        <v>0</v>
      </c>
      <c r="F28" s="449">
        <f t="shared" si="6"/>
        <v>0</v>
      </c>
      <c r="G28" s="449">
        <f t="shared" si="7"/>
        <v>281.28075725058824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282.3904055130705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304.39456585221814</v>
      </c>
      <c r="C32" s="449">
        <f t="shared" ca="1" si="3"/>
        <v>0</v>
      </c>
      <c r="D32" s="449">
        <f t="shared" si="4"/>
        <v>157.44792211940774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461.84248797162587</v>
      </c>
    </row>
    <row r="33" spans="1:17" s="461" customFormat="1">
      <c r="A33" s="458" t="s">
        <v>562</v>
      </c>
      <c r="B33" s="459">
        <f ca="1">SUM(B22:B32)</f>
        <v>11712.328800982083</v>
      </c>
      <c r="C33" s="459">
        <f t="shared" ref="C33:Q33" ca="1" si="18">SUM(C22:C32)</f>
        <v>2256.4588235294118</v>
      </c>
      <c r="D33" s="459">
        <f t="shared" ca="1" si="18"/>
        <v>54514.400161317011</v>
      </c>
      <c r="E33" s="459">
        <f t="shared" si="18"/>
        <v>353.79312530509679</v>
      </c>
      <c r="F33" s="459">
        <f t="shared" ca="1" si="18"/>
        <v>14138.798036433744</v>
      </c>
      <c r="G33" s="459">
        <f t="shared" si="18"/>
        <v>10988.937198573154</v>
      </c>
      <c r="H33" s="459">
        <f t="shared" si="18"/>
        <v>1786.1398464544463</v>
      </c>
      <c r="I33" s="459">
        <f t="shared" si="18"/>
        <v>0</v>
      </c>
      <c r="J33" s="459">
        <f t="shared" si="18"/>
        <v>445.01483255036032</v>
      </c>
      <c r="K33" s="459">
        <f t="shared" si="18"/>
        <v>0</v>
      </c>
      <c r="L33" s="459">
        <f t="shared" ca="1" si="18"/>
        <v>0</v>
      </c>
      <c r="M33" s="459">
        <f t="shared" si="18"/>
        <v>0</v>
      </c>
      <c r="N33" s="459">
        <f t="shared" ca="1" si="18"/>
        <v>0</v>
      </c>
      <c r="O33" s="459">
        <f t="shared" si="18"/>
        <v>0</v>
      </c>
      <c r="P33" s="459">
        <f t="shared" si="18"/>
        <v>0</v>
      </c>
      <c r="Q33" s="459">
        <f t="shared" ca="1" si="18"/>
        <v>96195.870825145306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3254.1377349283057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6646.5</v>
      </c>
      <c r="D8" s="1015">
        <f>'SEAP template'!D76</f>
        <v>7819.411764705882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1579.5211764705882</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3254.1377349283057</v>
      </c>
      <c r="C10" s="1019">
        <f>SUM(C4:C9)</f>
        <v>6646.5</v>
      </c>
      <c r="D10" s="1019">
        <f t="shared" ref="D10:H10" si="0">SUM(D8:D9)</f>
        <v>7819.411764705882</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1579.5211764705882</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0.21008493462006075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9495</v>
      </c>
      <c r="D17" s="1016">
        <f>'SEAP template'!D87</f>
        <v>11170.588235294117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2256.4588235294118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9495</v>
      </c>
      <c r="D20" s="1019">
        <f t="shared" ref="D20:H20" si="2">SUM(D17:D19)</f>
        <v>11170.588235294117</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2256.4588235294118</v>
      </c>
    </row>
    <row r="22" spans="1:16">
      <c r="A22" s="462" t="s">
        <v>899</v>
      </c>
      <c r="B22" s="766" t="s">
        <v>893</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0.21008493462006075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0.21008493462006075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0.21008493462006075</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4232</v>
      </c>
      <c r="C14" s="327"/>
      <c r="D14" s="327"/>
      <c r="E14" s="327"/>
      <c r="F14" s="327"/>
    </row>
    <row r="15" spans="1:6">
      <c r="A15" s="1295" t="s">
        <v>183</v>
      </c>
      <c r="B15" s="1296">
        <v>1054</v>
      </c>
      <c r="C15" s="327"/>
      <c r="D15" s="327"/>
      <c r="E15" s="327"/>
      <c r="F15" s="327"/>
    </row>
    <row r="16" spans="1:6">
      <c r="A16" s="1295" t="s">
        <v>6</v>
      </c>
      <c r="B16" s="1296">
        <v>1269</v>
      </c>
      <c r="C16" s="327"/>
      <c r="D16" s="327"/>
      <c r="E16" s="327"/>
      <c r="F16" s="327"/>
    </row>
    <row r="17" spans="1:6">
      <c r="A17" s="1295" t="s">
        <v>7</v>
      </c>
      <c r="B17" s="1296">
        <v>1226</v>
      </c>
      <c r="C17" s="327"/>
      <c r="D17" s="327"/>
      <c r="E17" s="327"/>
      <c r="F17" s="327"/>
    </row>
    <row r="18" spans="1:6">
      <c r="A18" s="1295" t="s">
        <v>8</v>
      </c>
      <c r="B18" s="1296">
        <v>1919</v>
      </c>
      <c r="C18" s="327"/>
      <c r="D18" s="327"/>
      <c r="E18" s="327"/>
      <c r="F18" s="327"/>
    </row>
    <row r="19" spans="1:6">
      <c r="A19" s="1295" t="s">
        <v>9</v>
      </c>
      <c r="B19" s="1296">
        <v>2493</v>
      </c>
      <c r="C19" s="327"/>
      <c r="D19" s="327"/>
      <c r="E19" s="327"/>
      <c r="F19" s="327"/>
    </row>
    <row r="20" spans="1:6">
      <c r="A20" s="1295" t="s">
        <v>10</v>
      </c>
      <c r="B20" s="1296">
        <v>1122</v>
      </c>
      <c r="C20" s="327"/>
      <c r="D20" s="327"/>
      <c r="E20" s="327"/>
      <c r="F20" s="327"/>
    </row>
    <row r="21" spans="1:6">
      <c r="A21" s="1295" t="s">
        <v>11</v>
      </c>
      <c r="B21" s="1296">
        <v>11866</v>
      </c>
      <c r="C21" s="327"/>
      <c r="D21" s="327"/>
      <c r="E21" s="327"/>
      <c r="F21" s="327"/>
    </row>
    <row r="22" spans="1:6">
      <c r="A22" s="1295" t="s">
        <v>12</v>
      </c>
      <c r="B22" s="1296">
        <v>58786</v>
      </c>
      <c r="C22" s="327"/>
      <c r="D22" s="327"/>
      <c r="E22" s="327"/>
      <c r="F22" s="327"/>
    </row>
    <row r="23" spans="1:6">
      <c r="A23" s="1295" t="s">
        <v>13</v>
      </c>
      <c r="B23" s="1296">
        <v>429</v>
      </c>
      <c r="C23" s="327"/>
      <c r="D23" s="327"/>
      <c r="E23" s="327"/>
      <c r="F23" s="327"/>
    </row>
    <row r="24" spans="1:6">
      <c r="A24" s="1295" t="s">
        <v>14</v>
      </c>
      <c r="B24" s="1296">
        <v>30</v>
      </c>
      <c r="C24" s="327"/>
      <c r="D24" s="327"/>
      <c r="E24" s="327"/>
      <c r="F24" s="327"/>
    </row>
    <row r="25" spans="1:6">
      <c r="A25" s="1295" t="s">
        <v>15</v>
      </c>
      <c r="B25" s="1296">
        <v>3293</v>
      </c>
      <c r="C25" s="327"/>
      <c r="D25" s="327"/>
      <c r="E25" s="327"/>
      <c r="F25" s="327"/>
    </row>
    <row r="26" spans="1:6">
      <c r="A26" s="1295" t="s">
        <v>16</v>
      </c>
      <c r="B26" s="1296">
        <v>284</v>
      </c>
      <c r="C26" s="327"/>
      <c r="D26" s="327"/>
      <c r="E26" s="327"/>
      <c r="F26" s="327"/>
    </row>
    <row r="27" spans="1:6">
      <c r="A27" s="1295" t="s">
        <v>17</v>
      </c>
      <c r="B27" s="1296">
        <v>26</v>
      </c>
      <c r="C27" s="327"/>
      <c r="D27" s="327"/>
      <c r="E27" s="327"/>
      <c r="F27" s="327"/>
    </row>
    <row r="28" spans="1:6" s="44" customFormat="1">
      <c r="A28" s="1297" t="s">
        <v>18</v>
      </c>
      <c r="B28" s="1298">
        <v>464020</v>
      </c>
      <c r="C28" s="333"/>
      <c r="D28" s="333"/>
      <c r="E28" s="333"/>
      <c r="F28" s="333"/>
    </row>
    <row r="29" spans="1:6">
      <c r="A29" s="1297" t="s">
        <v>961</v>
      </c>
      <c r="B29" s="1298">
        <v>145</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21473.794082175798</v>
      </c>
      <c r="E38" s="1296">
        <v>0</v>
      </c>
      <c r="F38" s="1296">
        <v>0</v>
      </c>
    </row>
    <row r="39" spans="1:6">
      <c r="A39" s="1295" t="s">
        <v>29</v>
      </c>
      <c r="B39" s="1295" t="s">
        <v>30</v>
      </c>
      <c r="C39" s="1296">
        <v>1256</v>
      </c>
      <c r="D39" s="1296">
        <v>20569052.657497101</v>
      </c>
      <c r="E39" s="1296">
        <v>2852</v>
      </c>
      <c r="F39" s="1296">
        <v>12408874.377063399</v>
      </c>
    </row>
    <row r="40" spans="1:6">
      <c r="A40" s="1295" t="s">
        <v>29</v>
      </c>
      <c r="B40" s="1295" t="s">
        <v>28</v>
      </c>
      <c r="C40" s="1296">
        <v>0</v>
      </c>
      <c r="D40" s="1296">
        <v>0</v>
      </c>
      <c r="E40" s="1296">
        <v>0</v>
      </c>
      <c r="F40" s="1296">
        <v>0</v>
      </c>
    </row>
    <row r="41" spans="1:6">
      <c r="A41" s="1295" t="s">
        <v>31</v>
      </c>
      <c r="B41" s="1295" t="s">
        <v>32</v>
      </c>
      <c r="C41" s="1296">
        <v>3</v>
      </c>
      <c r="D41" s="1296">
        <v>53595.043412332001</v>
      </c>
      <c r="E41" s="1296">
        <v>58</v>
      </c>
      <c r="F41" s="1296">
        <v>538968.34203372197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40324.7515743166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17059.3421866223</v>
      </c>
    </row>
    <row r="48" spans="1:6">
      <c r="A48" s="1295" t="s">
        <v>31</v>
      </c>
      <c r="B48" s="1295" t="s">
        <v>28</v>
      </c>
      <c r="C48" s="1296">
        <v>22</v>
      </c>
      <c r="D48" s="1296">
        <v>269069292.85952401</v>
      </c>
      <c r="E48" s="1296">
        <v>34</v>
      </c>
      <c r="F48" s="1296">
        <v>20057072.134622101</v>
      </c>
    </row>
    <row r="49" spans="1:6">
      <c r="A49" s="1295" t="s">
        <v>31</v>
      </c>
      <c r="B49" s="1295" t="s">
        <v>39</v>
      </c>
      <c r="C49" s="1296">
        <v>0</v>
      </c>
      <c r="D49" s="1296">
        <v>0</v>
      </c>
      <c r="E49" s="1296">
        <v>0</v>
      </c>
      <c r="F49" s="1296">
        <v>0</v>
      </c>
    </row>
    <row r="50" spans="1:6">
      <c r="A50" s="1295" t="s">
        <v>31</v>
      </c>
      <c r="B50" s="1295" t="s">
        <v>40</v>
      </c>
      <c r="C50" s="1296">
        <v>0</v>
      </c>
      <c r="D50" s="1296">
        <v>0</v>
      </c>
      <c r="E50" s="1296">
        <v>10</v>
      </c>
      <c r="F50" s="1296">
        <v>6696202.7020054804</v>
      </c>
    </row>
    <row r="51" spans="1:6">
      <c r="A51" s="1295" t="s">
        <v>41</v>
      </c>
      <c r="B51" s="1295" t="s">
        <v>42</v>
      </c>
      <c r="C51" s="1296">
        <v>14</v>
      </c>
      <c r="D51" s="1296">
        <v>24138679.9376042</v>
      </c>
      <c r="E51" s="1296">
        <v>205</v>
      </c>
      <c r="F51" s="1296">
        <v>4795695.3262216598</v>
      </c>
    </row>
    <row r="52" spans="1:6">
      <c r="A52" s="1295" t="s">
        <v>41</v>
      </c>
      <c r="B52" s="1295" t="s">
        <v>28</v>
      </c>
      <c r="C52" s="1296">
        <v>1</v>
      </c>
      <c r="D52" s="1296">
        <v>25124.580571726001</v>
      </c>
      <c r="E52" s="1296">
        <v>4</v>
      </c>
      <c r="F52" s="1296">
        <v>31090.908033787498</v>
      </c>
    </row>
    <row r="53" spans="1:6">
      <c r="A53" s="1295" t="s">
        <v>43</v>
      </c>
      <c r="B53" s="1295" t="s">
        <v>44</v>
      </c>
      <c r="C53" s="1296">
        <v>44</v>
      </c>
      <c r="D53" s="1296">
        <v>779445.15900696896</v>
      </c>
      <c r="E53" s="1296">
        <v>84</v>
      </c>
      <c r="F53" s="1296">
        <v>1448911.9193754499</v>
      </c>
    </row>
    <row r="54" spans="1:6">
      <c r="A54" s="1295" t="s">
        <v>45</v>
      </c>
      <c r="B54" s="1295" t="s">
        <v>46</v>
      </c>
      <c r="C54" s="1296">
        <v>0</v>
      </c>
      <c r="D54" s="1296">
        <v>0</v>
      </c>
      <c r="E54" s="1296">
        <v>1</v>
      </c>
      <c r="F54" s="1296">
        <v>747701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v>
      </c>
      <c r="D57" s="1296">
        <v>122759.45383006999</v>
      </c>
      <c r="E57" s="1296">
        <v>26</v>
      </c>
      <c r="F57" s="1296">
        <v>239567.62256726</v>
      </c>
    </row>
    <row r="58" spans="1:6">
      <c r="A58" s="1295" t="s">
        <v>48</v>
      </c>
      <c r="B58" s="1295" t="s">
        <v>50</v>
      </c>
      <c r="C58" s="1296">
        <v>0</v>
      </c>
      <c r="D58" s="1296">
        <v>0</v>
      </c>
      <c r="E58" s="1296">
        <v>4</v>
      </c>
      <c r="F58" s="1296">
        <v>18998.4296163912</v>
      </c>
    </row>
    <row r="59" spans="1:6">
      <c r="A59" s="1295" t="s">
        <v>48</v>
      </c>
      <c r="B59" s="1295" t="s">
        <v>51</v>
      </c>
      <c r="C59" s="1296">
        <v>4</v>
      </c>
      <c r="D59" s="1296">
        <v>179199.08907420599</v>
      </c>
      <c r="E59" s="1296">
        <v>73</v>
      </c>
      <c r="F59" s="1296">
        <v>2906783.9163053199</v>
      </c>
    </row>
    <row r="60" spans="1:6">
      <c r="A60" s="1295" t="s">
        <v>48</v>
      </c>
      <c r="B60" s="1295" t="s">
        <v>52</v>
      </c>
      <c r="C60" s="1296">
        <v>14</v>
      </c>
      <c r="D60" s="1296">
        <v>427780.70399397</v>
      </c>
      <c r="E60" s="1296">
        <v>28</v>
      </c>
      <c r="F60" s="1296">
        <v>588190.55956409802</v>
      </c>
    </row>
    <row r="61" spans="1:6">
      <c r="A61" s="1295" t="s">
        <v>48</v>
      </c>
      <c r="B61" s="1295" t="s">
        <v>53</v>
      </c>
      <c r="C61" s="1296">
        <v>44</v>
      </c>
      <c r="D61" s="1296">
        <v>1870718.94181573</v>
      </c>
      <c r="E61" s="1296">
        <v>103</v>
      </c>
      <c r="F61" s="1296">
        <v>1661321.6404325699</v>
      </c>
    </row>
    <row r="62" spans="1:6">
      <c r="A62" s="1295" t="s">
        <v>48</v>
      </c>
      <c r="B62" s="1295" t="s">
        <v>54</v>
      </c>
      <c r="C62" s="1296">
        <v>6</v>
      </c>
      <c r="D62" s="1296">
        <v>448148.65670611802</v>
      </c>
      <c r="E62" s="1296">
        <v>8</v>
      </c>
      <c r="F62" s="1296">
        <v>70807.370082054404</v>
      </c>
    </row>
    <row r="63" spans="1:6">
      <c r="A63" s="1295" t="s">
        <v>48</v>
      </c>
      <c r="B63" s="1295" t="s">
        <v>28</v>
      </c>
      <c r="C63" s="1296">
        <v>50</v>
      </c>
      <c r="D63" s="1296">
        <v>2475703.8647716902</v>
      </c>
      <c r="E63" s="1296">
        <v>71</v>
      </c>
      <c r="F63" s="1296">
        <v>1358259.64391862</v>
      </c>
    </row>
    <row r="64" spans="1:6">
      <c r="A64" s="1295" t="s">
        <v>55</v>
      </c>
      <c r="B64" s="1295" t="s">
        <v>56</v>
      </c>
      <c r="C64" s="1296">
        <v>0</v>
      </c>
      <c r="D64" s="1296">
        <v>0</v>
      </c>
      <c r="E64" s="1296">
        <v>0</v>
      </c>
      <c r="F64" s="1296">
        <v>0</v>
      </c>
    </row>
    <row r="65" spans="1:6">
      <c r="A65" s="1295" t="s">
        <v>55</v>
      </c>
      <c r="B65" s="1295" t="s">
        <v>28</v>
      </c>
      <c r="C65" s="1296">
        <v>1</v>
      </c>
      <c r="D65" s="1296">
        <v>0</v>
      </c>
      <c r="E65" s="1296">
        <v>1</v>
      </c>
      <c r="F65" s="1296">
        <v>12829.9520597255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10</v>
      </c>
      <c r="F68" s="1299">
        <v>68585.781632821207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29523120</v>
      </c>
      <c r="E73" s="447"/>
      <c r="F73" s="327"/>
    </row>
    <row r="74" spans="1:6">
      <c r="A74" s="1295" t="s">
        <v>63</v>
      </c>
      <c r="B74" s="1295" t="s">
        <v>755</v>
      </c>
      <c r="C74" s="1309" t="s">
        <v>749</v>
      </c>
      <c r="D74" s="1310">
        <v>2364040.0372268325</v>
      </c>
      <c r="E74" s="447"/>
      <c r="F74" s="327"/>
    </row>
    <row r="75" spans="1:6">
      <c r="A75" s="1295" t="s">
        <v>64</v>
      </c>
      <c r="B75" s="1295" t="s">
        <v>754</v>
      </c>
      <c r="C75" s="1309" t="s">
        <v>750</v>
      </c>
      <c r="D75" s="1310">
        <v>20810798</v>
      </c>
      <c r="E75" s="447"/>
      <c r="F75" s="327"/>
    </row>
    <row r="76" spans="1:6">
      <c r="A76" s="1295" t="s">
        <v>64</v>
      </c>
      <c r="B76" s="1295" t="s">
        <v>755</v>
      </c>
      <c r="C76" s="1309" t="s">
        <v>751</v>
      </c>
      <c r="D76" s="1310">
        <v>1252256.0372268325</v>
      </c>
      <c r="E76" s="447"/>
      <c r="F76" s="327"/>
    </row>
    <row r="77" spans="1:6">
      <c r="A77" s="1295" t="s">
        <v>65</v>
      </c>
      <c r="B77" s="1295" t="s">
        <v>754</v>
      </c>
      <c r="C77" s="1309" t="s">
        <v>752</v>
      </c>
      <c r="D77" s="1310">
        <v>1330408</v>
      </c>
      <c r="E77" s="447"/>
      <c r="F77" s="327"/>
    </row>
    <row r="78" spans="1:6">
      <c r="A78" s="1290" t="s">
        <v>65</v>
      </c>
      <c r="B78" s="1290" t="s">
        <v>755</v>
      </c>
      <c r="C78" s="1290" t="s">
        <v>753</v>
      </c>
      <c r="D78" s="1311">
        <v>240103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290995.92554633494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2117.2190679159435</v>
      </c>
      <c r="C91" s="327"/>
      <c r="D91" s="327"/>
      <c r="E91" s="327"/>
      <c r="F91" s="327"/>
    </row>
    <row r="92" spans="1:6">
      <c r="A92" s="1290" t="s">
        <v>68</v>
      </c>
      <c r="B92" s="1291">
        <v>1136.9186670123624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589</v>
      </c>
      <c r="C97" s="327"/>
      <c r="D97" s="327"/>
      <c r="E97" s="327"/>
      <c r="F97" s="327"/>
    </row>
    <row r="98" spans="1:6">
      <c r="A98" s="1295" t="s">
        <v>71</v>
      </c>
      <c r="B98" s="1296">
        <v>0</v>
      </c>
      <c r="C98" s="327"/>
      <c r="D98" s="327"/>
      <c r="E98" s="327"/>
      <c r="F98" s="327"/>
    </row>
    <row r="99" spans="1:6">
      <c r="A99" s="1295" t="s">
        <v>72</v>
      </c>
      <c r="B99" s="1296">
        <v>207</v>
      </c>
      <c r="C99" s="327"/>
      <c r="D99" s="327"/>
      <c r="E99" s="327"/>
      <c r="F99" s="327"/>
    </row>
    <row r="100" spans="1:6">
      <c r="A100" s="1295" t="s">
        <v>73</v>
      </c>
      <c r="B100" s="1296">
        <v>248</v>
      </c>
      <c r="C100" s="327"/>
      <c r="D100" s="327"/>
      <c r="E100" s="327"/>
      <c r="F100" s="327"/>
    </row>
    <row r="101" spans="1:6">
      <c r="A101" s="1295" t="s">
        <v>74</v>
      </c>
      <c r="B101" s="1296">
        <v>97</v>
      </c>
      <c r="C101" s="327"/>
      <c r="D101" s="327"/>
      <c r="E101" s="327"/>
      <c r="F101" s="327"/>
    </row>
    <row r="102" spans="1:6">
      <c r="A102" s="1295" t="s">
        <v>75</v>
      </c>
      <c r="B102" s="1296">
        <v>44</v>
      </c>
      <c r="C102" s="327"/>
      <c r="D102" s="327"/>
      <c r="E102" s="327"/>
      <c r="F102" s="327"/>
    </row>
    <row r="103" spans="1:6">
      <c r="A103" s="1295" t="s">
        <v>76</v>
      </c>
      <c r="B103" s="1296">
        <v>236</v>
      </c>
      <c r="C103" s="327"/>
      <c r="D103" s="327"/>
      <c r="E103" s="327"/>
      <c r="F103" s="327"/>
    </row>
    <row r="104" spans="1:6">
      <c r="A104" s="1295" t="s">
        <v>77</v>
      </c>
      <c r="B104" s="1296">
        <v>1428</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42</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55750.445990636428</v>
      </c>
      <c r="C3" s="44" t="s">
        <v>169</v>
      </c>
      <c r="D3" s="44"/>
      <c r="E3" s="157"/>
      <c r="F3" s="44"/>
      <c r="G3" s="44"/>
      <c r="H3" s="44"/>
      <c r="I3" s="44"/>
      <c r="J3" s="44"/>
      <c r="K3" s="97"/>
    </row>
    <row r="4" spans="1:11">
      <c r="A4" s="354" t="s">
        <v>170</v>
      </c>
      <c r="B4" s="50">
        <f>IF(ISERROR('SEAP template'!B78+'SEAP template'!C78),0,'SEAP template'!B78+'SEAP template'!C78)</f>
        <v>9900.6377349283066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1579.5211764705882</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0.21008493462006075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2256.4588235294118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9495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747.70100000000002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747.70100000000002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0.21008493462006075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157.08071570035406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12408.874377063399</v>
      </c>
      <c r="C5" s="18">
        <f>IF(ISERROR('Eigen informatie GS &amp; warmtenet'!B57),0,'Eigen informatie GS &amp; warmtenet'!B57)</f>
        <v>0</v>
      </c>
      <c r="D5" s="31">
        <f>(SUM(HH_hh_gas_kWh,HH_rest_gas_kWh)/1000)*0.902</f>
        <v>18553.285497062385</v>
      </c>
      <c r="E5" s="18">
        <f>B32*B41</f>
        <v>1009.4514181663505</v>
      </c>
      <c r="F5" s="18">
        <f>B36*B45</f>
        <v>30775.243003767137</v>
      </c>
      <c r="G5" s="19"/>
      <c r="H5" s="18"/>
      <c r="I5" s="18"/>
      <c r="J5" s="18">
        <f>B35*B44+C35*C44</f>
        <v>558.40606079814097</v>
      </c>
      <c r="K5" s="18"/>
      <c r="L5" s="18"/>
      <c r="M5" s="18"/>
      <c r="N5" s="18">
        <f>B34*B43+C34*C43</f>
        <v>4794.673798277493</v>
      </c>
      <c r="O5" s="18">
        <f>B52*B53*B54</f>
        <v>68.786666666666676</v>
      </c>
      <c r="P5" s="18">
        <f>B60*B61*B62/1000-B60*B61*B62/1000/B63</f>
        <v>76.266666666666666</v>
      </c>
    </row>
    <row r="6" spans="1:16">
      <c r="A6" s="17" t="s">
        <v>628</v>
      </c>
      <c r="B6" s="768">
        <f>kWh_PV_kleiner_dan_10kW</f>
        <v>2117.2190679159435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14526.093444979342</v>
      </c>
      <c r="C8" s="22">
        <f>C5</f>
        <v>0</v>
      </c>
      <c r="D8" s="22">
        <f>D5</f>
        <v>18553.285497062385</v>
      </c>
      <c r="E8" s="22">
        <f>E5</f>
        <v>1009.4514181663505</v>
      </c>
      <c r="F8" s="22">
        <f>F5</f>
        <v>30775.243003767137</v>
      </c>
      <c r="G8" s="22"/>
      <c r="H8" s="22"/>
      <c r="I8" s="22"/>
      <c r="J8" s="22">
        <f>J5</f>
        <v>558.40606079814097</v>
      </c>
      <c r="K8" s="22"/>
      <c r="L8" s="22">
        <f>L5</f>
        <v>0</v>
      </c>
      <c r="M8" s="22">
        <f>M5</f>
        <v>0</v>
      </c>
      <c r="N8" s="22">
        <f>N5</f>
        <v>4794.673798277493</v>
      </c>
      <c r="O8" s="22">
        <f>O5</f>
        <v>68.786666666666676</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0.21008493462006075</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3051.7133916733783</v>
      </c>
      <c r="C12" s="24">
        <f ca="1">C10*C8</f>
        <v>0</v>
      </c>
      <c r="D12" s="24">
        <f>D8*D10</f>
        <v>3747.7636704066022</v>
      </c>
      <c r="E12" s="24">
        <f>E10*E8</f>
        <v>229.14547192376159</v>
      </c>
      <c r="F12" s="24">
        <f>F10*F8</f>
        <v>8216.9898820058261</v>
      </c>
      <c r="G12" s="24"/>
      <c r="H12" s="24"/>
      <c r="I12" s="24"/>
      <c r="J12" s="24">
        <f>J10*J8</f>
        <v>197.67574552254189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3138</v>
      </c>
      <c r="C26" s="37"/>
      <c r="D26" s="228"/>
    </row>
    <row r="27" spans="1:5" s="16" customFormat="1">
      <c r="A27" s="230" t="s">
        <v>654</v>
      </c>
      <c r="B27" s="38">
        <f>SUM(HH_hh_gas_aantal,HH_rest_gas_aantal)</f>
        <v>1256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1193.2</v>
      </c>
      <c r="C31" s="35" t="s">
        <v>110</v>
      </c>
      <c r="D31" s="174"/>
    </row>
    <row r="32" spans="1:5">
      <c r="A32" s="171" t="s">
        <v>72</v>
      </c>
      <c r="B32" s="34">
        <f>IF((B21*($B$26-($B$27-0.05*$B$27)-$B$60))&lt;0,0,B21*($B$26-($B$27-0.05*$B$27)-$B$60))</f>
        <v>47.695801567090072</v>
      </c>
      <c r="C32" s="35" t="s">
        <v>110</v>
      </c>
      <c r="D32" s="174"/>
    </row>
    <row r="33" spans="1:6">
      <c r="A33" s="171" t="s">
        <v>73</v>
      </c>
      <c r="B33" s="34">
        <f>IF((B22*($B$26-($B$27-0.05*$B$27)-$B$60))&lt;0,0,B22*($B$26-($B$27-0.05*$B$27)-$B$60))</f>
        <v>321.04868406687268</v>
      </c>
      <c r="C33" s="35" t="s">
        <v>110</v>
      </c>
      <c r="D33" s="174"/>
    </row>
    <row r="34" spans="1:6">
      <c r="A34" s="171" t="s">
        <v>74</v>
      </c>
      <c r="B34" s="34">
        <f>IF((B24*($B$26-($B$27-0.05*$B$27)-$B$60))&lt;0,0,B24*($B$26-($B$27-0.05*$B$27)-$B$60))</f>
        <v>81.4247133724501</v>
      </c>
      <c r="C34" s="34">
        <f>B26*C24</f>
        <v>641.72830422554875</v>
      </c>
      <c r="D34" s="233"/>
    </row>
    <row r="35" spans="1:6">
      <c r="A35" s="171" t="s">
        <v>76</v>
      </c>
      <c r="B35" s="34">
        <f>IF((B19*($B$26-($B$27-0.05*$B$27)-$B$60))&lt;0,0,B19*($B$26-($B$27-0.05*$B$27)-$B$60))</f>
        <v>30.271131673598632</v>
      </c>
      <c r="C35" s="34">
        <f>B35/2</f>
        <v>15.135565836799316</v>
      </c>
      <c r="D35" s="233"/>
    </row>
    <row r="36" spans="1:6">
      <c r="A36" s="171" t="s">
        <v>77</v>
      </c>
      <c r="B36" s="34">
        <f>IF((B18*($B$26-($B$27-0.05*$B$27)-$B$60))&lt;0,0,B18*($B$26-($B$27-0.05*$B$27)-$B$60))</f>
        <v>1460.3596693199879</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6843.929182486313</v>
      </c>
      <c r="C5" s="18">
        <f>IF(ISERROR('Eigen informatie GS &amp; warmtenet'!B58),0,'Eigen informatie GS &amp; warmtenet'!B58)</f>
        <v>0</v>
      </c>
      <c r="D5" s="31">
        <f>SUM(D6:D12)</f>
        <v>4982.9282605929893</v>
      </c>
      <c r="E5" s="18">
        <f>SUM(E6:E12)</f>
        <v>62.660986900366879</v>
      </c>
      <c r="F5" s="18">
        <f>SUM(F6:F12)</f>
        <v>1297.3910308172617</v>
      </c>
      <c r="G5" s="19"/>
      <c r="H5" s="18"/>
      <c r="I5" s="18"/>
      <c r="J5" s="18">
        <f>SUM(J6:J12)</f>
        <v>0</v>
      </c>
      <c r="K5" s="18"/>
      <c r="L5" s="18"/>
      <c r="M5" s="18"/>
      <c r="N5" s="18">
        <f>SUM(N6:N12)</f>
        <v>242.78145965180332</v>
      </c>
      <c r="O5" s="18">
        <f>B38*B39*B40</f>
        <v>0</v>
      </c>
      <c r="P5" s="18">
        <f>B46*B47*B48/1000-B46*B47*B48/1000/B49</f>
        <v>19.066666666666666</v>
      </c>
      <c r="R5" s="33"/>
    </row>
    <row r="6" spans="1:18">
      <c r="A6" s="33" t="s">
        <v>53</v>
      </c>
      <c r="B6" s="38">
        <f>B26</f>
        <v>1661.3216404325699</v>
      </c>
      <c r="C6" s="34"/>
      <c r="D6" s="38">
        <f>IF(ISERROR(TER_kantoor_gas_kWh/1000),0,TER_kantoor_gas_kWh/1000)*0.902</f>
        <v>1687.3884855177885</v>
      </c>
      <c r="E6" s="34">
        <f>$C$26*'E Balans VL '!I12/100/3.6*1000000</f>
        <v>2.7265655217237494</v>
      </c>
      <c r="F6" s="34">
        <f>$C$26*('E Balans VL '!L12+'E Balans VL '!N12)/100/3.6*1000000</f>
        <v>195.83073263149873</v>
      </c>
      <c r="G6" s="35"/>
      <c r="H6" s="34"/>
      <c r="I6" s="34"/>
      <c r="J6" s="34">
        <f>$C$26*('E Balans VL '!D12+'E Balans VL '!E12)/100/3.6*1000000</f>
        <v>0</v>
      </c>
      <c r="K6" s="34"/>
      <c r="L6" s="34"/>
      <c r="M6" s="34"/>
      <c r="N6" s="34">
        <f>$C$26*'E Balans VL '!Y12/100/3.6*1000000</f>
        <v>0.33566217044738228</v>
      </c>
      <c r="O6" s="34"/>
      <c r="P6" s="34"/>
      <c r="R6" s="33"/>
    </row>
    <row r="7" spans="1:18">
      <c r="A7" s="33" t="s">
        <v>52</v>
      </c>
      <c r="B7" s="38">
        <f t="shared" ref="B7:B12" si="0">B27</f>
        <v>588.19055956409807</v>
      </c>
      <c r="C7" s="34"/>
      <c r="D7" s="38">
        <f>IF(ISERROR(TER_horeca_gas_kWh/1000),0,TER_horeca_gas_kWh/1000)*0.902</f>
        <v>385.85819500256093</v>
      </c>
      <c r="E7" s="34">
        <f>$C$27*'E Balans VL '!I9/100/3.6*1000000</f>
        <v>30.522833803407583</v>
      </c>
      <c r="F7" s="34">
        <f>$C$27*('E Balans VL '!L9+'E Balans VL '!N9)/100/3.6*1000000</f>
        <v>134.22551248571247</v>
      </c>
      <c r="G7" s="35"/>
      <c r="H7" s="34"/>
      <c r="I7" s="34"/>
      <c r="J7" s="34">
        <f>$C$27*('E Balans VL '!D9+'E Balans VL '!E9)/100/3.6*1000000</f>
        <v>0</v>
      </c>
      <c r="K7" s="34"/>
      <c r="L7" s="34"/>
      <c r="M7" s="34"/>
      <c r="N7" s="34">
        <f>$C$27*'E Balans VL '!Y9/100/3.6*1000000</f>
        <v>6.2112653539885071E-2</v>
      </c>
      <c r="O7" s="34"/>
      <c r="P7" s="34"/>
      <c r="R7" s="33"/>
    </row>
    <row r="8" spans="1:18">
      <c r="A8" s="6" t="s">
        <v>51</v>
      </c>
      <c r="B8" s="38">
        <f t="shared" si="0"/>
        <v>2906.78391630532</v>
      </c>
      <c r="C8" s="34"/>
      <c r="D8" s="38">
        <f>IF(ISERROR(TER_handel_gas_kWh/1000),0,TER_handel_gas_kWh/1000)*0.902</f>
        <v>161.63757834493379</v>
      </c>
      <c r="E8" s="34">
        <f>$C$28*'E Balans VL '!I13/100/3.6*1000000</f>
        <v>15.653388585572239</v>
      </c>
      <c r="F8" s="34">
        <f>$C$28*('E Balans VL '!L13+'E Balans VL '!N13)/100/3.6*1000000</f>
        <v>592.77962237251484</v>
      </c>
      <c r="G8" s="35"/>
      <c r="H8" s="34"/>
      <c r="I8" s="34"/>
      <c r="J8" s="34">
        <f>$C$28*('E Balans VL '!D13+'E Balans VL '!E13)/100/3.6*1000000</f>
        <v>0</v>
      </c>
      <c r="K8" s="34"/>
      <c r="L8" s="34"/>
      <c r="M8" s="34"/>
      <c r="N8" s="34">
        <f>$C$28*'E Balans VL '!Y13/100/3.6*1000000</f>
        <v>14.453901387179618</v>
      </c>
      <c r="O8" s="34"/>
      <c r="P8" s="34"/>
      <c r="R8" s="33"/>
    </row>
    <row r="9" spans="1:18">
      <c r="A9" s="33" t="s">
        <v>50</v>
      </c>
      <c r="B9" s="38">
        <f t="shared" si="0"/>
        <v>18.998429616391199</v>
      </c>
      <c r="C9" s="34"/>
      <c r="D9" s="38">
        <f>IF(ISERROR(TER_gezond_gas_kWh/1000),0,TER_gezond_gas_kWh/1000)*0.902</f>
        <v>0</v>
      </c>
      <c r="E9" s="34">
        <f>$C$29*'E Balans VL '!I10/100/3.6*1000000</f>
        <v>1.882765979909113E-2</v>
      </c>
      <c r="F9" s="34">
        <f>$C$29*('E Balans VL '!L10+'E Balans VL '!N10)/100/3.6*1000000</f>
        <v>6.5919074681627094</v>
      </c>
      <c r="G9" s="35"/>
      <c r="H9" s="34"/>
      <c r="I9" s="34"/>
      <c r="J9" s="34">
        <f>$C$29*('E Balans VL '!D10+'E Balans VL '!E10)/100/3.6*1000000</f>
        <v>0</v>
      </c>
      <c r="K9" s="34"/>
      <c r="L9" s="34"/>
      <c r="M9" s="34"/>
      <c r="N9" s="34">
        <f>$C$29*'E Balans VL '!Y10/100/3.6*1000000</f>
        <v>0.16370782217837587</v>
      </c>
      <c r="O9" s="34"/>
      <c r="P9" s="34"/>
      <c r="R9" s="33"/>
    </row>
    <row r="10" spans="1:18">
      <c r="A10" s="33" t="s">
        <v>49</v>
      </c>
      <c r="B10" s="38">
        <f t="shared" si="0"/>
        <v>239.56762256726</v>
      </c>
      <c r="C10" s="34"/>
      <c r="D10" s="38">
        <f>IF(ISERROR(TER_ander_gas_kWh/1000),0,TER_ander_gas_kWh/1000)*0.902</f>
        <v>110.72902735472313</v>
      </c>
      <c r="E10" s="34">
        <f>$C$30*'E Balans VL '!I14/100/3.6*1000000</f>
        <v>1.9599025833871997</v>
      </c>
      <c r="F10" s="34">
        <f>$C$30*('E Balans VL '!L14+'E Balans VL '!N14)/100/3.6*1000000</f>
        <v>70.03981963680863</v>
      </c>
      <c r="G10" s="35"/>
      <c r="H10" s="34"/>
      <c r="I10" s="34"/>
      <c r="J10" s="34">
        <f>$C$30*('E Balans VL '!D14+'E Balans VL '!E14)/100/3.6*1000000</f>
        <v>0</v>
      </c>
      <c r="K10" s="34"/>
      <c r="L10" s="34"/>
      <c r="M10" s="34"/>
      <c r="N10" s="34">
        <f>$C$30*'E Balans VL '!Y14/100/3.6*1000000</f>
        <v>138.19908429323638</v>
      </c>
      <c r="O10" s="34"/>
      <c r="P10" s="34"/>
      <c r="R10" s="33"/>
    </row>
    <row r="11" spans="1:18">
      <c r="A11" s="33" t="s">
        <v>54</v>
      </c>
      <c r="B11" s="38">
        <f t="shared" si="0"/>
        <v>70.807370082054405</v>
      </c>
      <c r="C11" s="34"/>
      <c r="D11" s="38">
        <f>IF(ISERROR(TER_onderwijs_gas_kWh/1000),0,TER_onderwijs_gas_kWh/1000)*0.902</f>
        <v>404.23008834891846</v>
      </c>
      <c r="E11" s="34">
        <f>$C$31*'E Balans VL '!I11/100/3.6*1000000</f>
        <v>4.3642675259014302E-2</v>
      </c>
      <c r="F11" s="34">
        <f>$C$31*('E Balans VL '!L11+'E Balans VL '!N11)/100/3.6*1000000</f>
        <v>27.375275975665758</v>
      </c>
      <c r="G11" s="35"/>
      <c r="H11" s="34"/>
      <c r="I11" s="34"/>
      <c r="J11" s="34">
        <f>$C$31*('E Balans VL '!D11+'E Balans VL '!E11)/100/3.6*1000000</f>
        <v>0</v>
      </c>
      <c r="K11" s="34"/>
      <c r="L11" s="34"/>
      <c r="M11" s="34"/>
      <c r="N11" s="34">
        <f>$C$31*'E Balans VL '!Y11/100/3.6*1000000</f>
        <v>0.23032120118149466</v>
      </c>
      <c r="O11" s="34"/>
      <c r="P11" s="34"/>
      <c r="R11" s="33"/>
    </row>
    <row r="12" spans="1:18">
      <c r="A12" s="33" t="s">
        <v>255</v>
      </c>
      <c r="B12" s="38">
        <f t="shared" si="0"/>
        <v>1358.25964391862</v>
      </c>
      <c r="C12" s="34"/>
      <c r="D12" s="38">
        <f>IF(ISERROR(TER_rest_gas_kWh/1000),0,TER_rest_gas_kWh/1000)*0.902</f>
        <v>2233.0848860240649</v>
      </c>
      <c r="E12" s="34">
        <f>$C$32*'E Balans VL '!I8/100/3.6*1000000</f>
        <v>11.735826071218</v>
      </c>
      <c r="F12" s="34">
        <f>$C$32*('E Balans VL '!L8+'E Balans VL '!N8)/100/3.6*1000000</f>
        <v>270.54816024689865</v>
      </c>
      <c r="G12" s="35"/>
      <c r="H12" s="34"/>
      <c r="I12" s="34"/>
      <c r="J12" s="34">
        <f>$C$32*('E Balans VL '!D8+'E Balans VL '!E8)/100/3.6*1000000</f>
        <v>0</v>
      </c>
      <c r="K12" s="34"/>
      <c r="L12" s="34"/>
      <c r="M12" s="34"/>
      <c r="N12" s="34">
        <f>$C$32*'E Balans VL '!Y8/100/3.6*1000000</f>
        <v>89.336670124040182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6843.929182486313</v>
      </c>
      <c r="C16" s="22">
        <f t="shared" ca="1" si="1"/>
        <v>0</v>
      </c>
      <c r="D16" s="22">
        <f t="shared" ca="1" si="1"/>
        <v>4982.9282605929893</v>
      </c>
      <c r="E16" s="22">
        <f t="shared" si="1"/>
        <v>62.660986900366879</v>
      </c>
      <c r="F16" s="22">
        <f t="shared" ca="1" si="1"/>
        <v>1297.3910308172617</v>
      </c>
      <c r="G16" s="22">
        <f t="shared" si="1"/>
        <v>0</v>
      </c>
      <c r="H16" s="22">
        <f t="shared" si="1"/>
        <v>0</v>
      </c>
      <c r="I16" s="22">
        <f t="shared" si="1"/>
        <v>0</v>
      </c>
      <c r="J16" s="22">
        <f t="shared" si="1"/>
        <v>0</v>
      </c>
      <c r="K16" s="22">
        <f t="shared" si="1"/>
        <v>0</v>
      </c>
      <c r="L16" s="22">
        <f t="shared" ca="1" si="1"/>
        <v>0</v>
      </c>
      <c r="M16" s="22">
        <f t="shared" si="1"/>
        <v>0</v>
      </c>
      <c r="N16" s="22">
        <f t="shared" ca="1" si="1"/>
        <v>242.78145965180332</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0.21008493462006075</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1437.806414846963</v>
      </c>
      <c r="C20" s="24">
        <f t="shared" ref="C20:P20" ca="1" si="2">C16*C18</f>
        <v>0</v>
      </c>
      <c r="D20" s="24">
        <f t="shared" ca="1" si="2"/>
        <v>1006.5515086397839</v>
      </c>
      <c r="E20" s="24">
        <f t="shared" si="2"/>
        <v>14.224044026383282</v>
      </c>
      <c r="F20" s="24">
        <f t="shared" ca="1" si="2"/>
        <v>346.4034052282089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1661.3216404325699</v>
      </c>
      <c r="C26" s="40">
        <f>IF(ISERROR(B26*3.6/1000000/'E Balans VL '!Z12*100),0,B26*3.6/1000000/'E Balans VL '!Z12*100)</f>
        <v>3.530189347387018E-2</v>
      </c>
      <c r="D26" s="236" t="s">
        <v>691</v>
      </c>
      <c r="F26" s="6"/>
    </row>
    <row r="27" spans="1:18">
      <c r="A27" s="231" t="s">
        <v>52</v>
      </c>
      <c r="B27" s="34">
        <f>IF(ISERROR(TER_horeca_ele_kWh/1000),0,TER_horeca_ele_kWh/1000)</f>
        <v>588.19055956409807</v>
      </c>
      <c r="C27" s="40">
        <f>IF(ISERROR(B27*3.6/1000000/'E Balans VL '!Z9*100),0,B27*3.6/1000000/'E Balans VL '!Z9*100)</f>
        <v>4.6295145495566514E-2</v>
      </c>
      <c r="D27" s="236" t="s">
        <v>691</v>
      </c>
      <c r="F27" s="6"/>
    </row>
    <row r="28" spans="1:18">
      <c r="A28" s="171" t="s">
        <v>51</v>
      </c>
      <c r="B28" s="34">
        <f>IF(ISERROR(TER_handel_ele_kWh/1000),0,TER_handel_ele_kWh/1000)</f>
        <v>2906.78391630532</v>
      </c>
      <c r="C28" s="40">
        <f>IF(ISERROR(B28*3.6/1000000/'E Balans VL '!Z13*100),0,B28*3.6/1000000/'E Balans VL '!Z13*100)</f>
        <v>8.1420573145047428E-2</v>
      </c>
      <c r="D28" s="236" t="s">
        <v>691</v>
      </c>
      <c r="F28" s="6"/>
    </row>
    <row r="29" spans="1:18">
      <c r="A29" s="231" t="s">
        <v>50</v>
      </c>
      <c r="B29" s="34">
        <f>IF(ISERROR(TER_gezond_ele_kWh/1000),0,TER_gezond_ele_kWh/1000)</f>
        <v>18.998429616391199</v>
      </c>
      <c r="C29" s="40">
        <f>IF(ISERROR(B29*3.6/1000000/'E Balans VL '!Z10*100),0,B29*3.6/1000000/'E Balans VL '!Z10*100)</f>
        <v>2.4304736373108237E-3</v>
      </c>
      <c r="D29" s="236" t="s">
        <v>691</v>
      </c>
      <c r="F29" s="6"/>
    </row>
    <row r="30" spans="1:18">
      <c r="A30" s="231" t="s">
        <v>49</v>
      </c>
      <c r="B30" s="34">
        <f>IF(ISERROR(TER_ander_ele_kWh/1000),0,TER_ander_ele_kWh/1000)</f>
        <v>239.56762256726</v>
      </c>
      <c r="C30" s="40">
        <f>IF(ISERROR(B30*3.6/1000000/'E Balans VL '!Z14*100),0,B30*3.6/1000000/'E Balans VL '!Z14*100)</f>
        <v>1.7917639535980013E-2</v>
      </c>
      <c r="D30" s="236" t="s">
        <v>691</v>
      </c>
      <c r="F30" s="6"/>
    </row>
    <row r="31" spans="1:18">
      <c r="A31" s="231" t="s">
        <v>54</v>
      </c>
      <c r="B31" s="34">
        <f>IF(ISERROR(TER_onderwijs_ele_kWh/1000),0,TER_onderwijs_ele_kWh/1000)</f>
        <v>70.807370082054405</v>
      </c>
      <c r="C31" s="40">
        <f>IF(ISERROR(B31*3.6/1000000/'E Balans VL '!Z11*100),0,B31*3.6/1000000/'E Balans VL '!Z11*100)</f>
        <v>1.4951067911813999E-2</v>
      </c>
      <c r="D31" s="236" t="s">
        <v>691</v>
      </c>
    </row>
    <row r="32" spans="1:18">
      <c r="A32" s="231" t="s">
        <v>255</v>
      </c>
      <c r="B32" s="34">
        <f>IF(ISERROR(TER_rest_ele_kWh/1000),0,TER_rest_ele_kWh/1000)</f>
        <v>1358.25964391862</v>
      </c>
      <c r="C32" s="40">
        <f>IF(ISERROR(B32*3.6/1000000/'E Balans VL '!Z8*100),0,B32*3.6/1000000/'E Balans VL '!Z8*100)</f>
        <v>1.1189250673829861E-2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27349.62727242224</v>
      </c>
      <c r="C5" s="18">
        <f>IF(ISERROR('Eigen informatie GS &amp; warmtenet'!B59),0,'Eigen informatie GS &amp; warmtenet'!B59)</f>
        <v>0</v>
      </c>
      <c r="D5" s="31">
        <f>SUM(D6:D15)</f>
        <v>242748.8448884486</v>
      </c>
      <c r="E5" s="18">
        <f>SUM(E6:E15)</f>
        <v>250.13145605277001</v>
      </c>
      <c r="F5" s="18">
        <f>SUM(F6:F15)</f>
        <v>5130.2603752944706</v>
      </c>
      <c r="G5" s="19"/>
      <c r="H5" s="18"/>
      <c r="I5" s="18"/>
      <c r="J5" s="18">
        <f>SUM(J6:J15)</f>
        <v>101.60105129315689</v>
      </c>
      <c r="K5" s="18"/>
      <c r="L5" s="18"/>
      <c r="M5" s="18"/>
      <c r="N5" s="18">
        <f>SUM(N6:N15)</f>
        <v>762.10525469455888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40.324751574316601</v>
      </c>
      <c r="C8" s="34"/>
      <c r="D8" s="38">
        <f>IF( ISERROR(IND_metaal_Gas_kWH/1000),0,IND_metaal_Gas_kWH/1000)*0.902</f>
        <v>0</v>
      </c>
      <c r="E8" s="34">
        <f>C30*'E Balans VL '!I18/100/3.6*1000000</f>
        <v>0.36723024556887807</v>
      </c>
      <c r="F8" s="34">
        <f>C30*'E Balans VL '!L18/100/3.6*1000000+C30*'E Balans VL '!N18/100/3.6*1000000</f>
        <v>5.3185285012292134</v>
      </c>
      <c r="G8" s="35"/>
      <c r="H8" s="34"/>
      <c r="I8" s="34"/>
      <c r="J8" s="41">
        <f>C30*'E Balans VL '!D18/100/3.6*1000000+C30*'E Balans VL '!E18/100/3.6*1000000</f>
        <v>0.66126737638780819</v>
      </c>
      <c r="K8" s="34"/>
      <c r="L8" s="34"/>
      <c r="M8" s="34"/>
      <c r="N8" s="34">
        <f>C30*'E Balans VL '!Y18/100/3.6*1000000</f>
        <v>0.13858015219445496</v>
      </c>
      <c r="O8" s="34"/>
      <c r="P8" s="34"/>
      <c r="R8" s="33"/>
    </row>
    <row r="9" spans="1:18">
      <c r="A9" s="6" t="s">
        <v>32</v>
      </c>
      <c r="B9" s="38">
        <f t="shared" si="0"/>
        <v>538.96834203372202</v>
      </c>
      <c r="C9" s="34"/>
      <c r="D9" s="38">
        <f>IF( ISERROR(IND_andere_gas_kWh/1000),0,IND_andere_gas_kWh/1000)*0.902</f>
        <v>48.342729157923472</v>
      </c>
      <c r="E9" s="34">
        <f>C31*'E Balans VL '!I19/100/3.6*1000000</f>
        <v>3.1153175591117486</v>
      </c>
      <c r="F9" s="34">
        <f>C31*'E Balans VL '!L19/100/3.6*1000000+C31*'E Balans VL '!N19/100/3.6*1000000</f>
        <v>428.77525021819321</v>
      </c>
      <c r="G9" s="35"/>
      <c r="H9" s="34"/>
      <c r="I9" s="34"/>
      <c r="J9" s="41">
        <f>C31*'E Balans VL '!D19/100/3.6*1000000+C31*'E Balans VL '!E19/100/3.6*1000000</f>
        <v>5.0980418465612617E-2</v>
      </c>
      <c r="K9" s="34"/>
      <c r="L9" s="34"/>
      <c r="M9" s="34"/>
      <c r="N9" s="34">
        <f>C31*'E Balans VL '!Y19/100/3.6*1000000</f>
        <v>40.835008282572723</v>
      </c>
      <c r="O9" s="34"/>
      <c r="P9" s="34"/>
      <c r="R9" s="33"/>
    </row>
    <row r="10" spans="1:18">
      <c r="A10" s="6" t="s">
        <v>40</v>
      </c>
      <c r="B10" s="38">
        <f t="shared" si="0"/>
        <v>6696.2027020054802</v>
      </c>
      <c r="C10" s="34"/>
      <c r="D10" s="38">
        <f>IF( ISERROR(IND_voed_gas_kWh/1000),0,IND_voed_gas_kWh/1000)*0.902</f>
        <v>0</v>
      </c>
      <c r="E10" s="34">
        <f>C32*'E Balans VL '!I20/100/3.6*1000000</f>
        <v>65.841190840216285</v>
      </c>
      <c r="F10" s="34">
        <f>C32*'E Balans VL '!L20/100/3.6*1000000+C32*'E Balans VL '!N20/100/3.6*1000000</f>
        <v>743.70071321035175</v>
      </c>
      <c r="G10" s="35"/>
      <c r="H10" s="34"/>
      <c r="I10" s="34"/>
      <c r="J10" s="41">
        <f>C32*'E Balans VL '!D20/100/3.6*1000000+C32*'E Balans VL '!E20/100/3.6*1000000</f>
        <v>2.6392774741712938E-2</v>
      </c>
      <c r="K10" s="34"/>
      <c r="L10" s="34"/>
      <c r="M10" s="34"/>
      <c r="N10" s="34">
        <f>C32*'E Balans VL '!Y20/100/3.6*1000000</f>
        <v>99.155010887655337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17.059342186622299</v>
      </c>
      <c r="C13" s="34"/>
      <c r="D13" s="38">
        <f>IF( ISERROR(IND_papier_gas_kWh/1000),0,IND_papier_gas_kWh/1000)*0.902</f>
        <v>0</v>
      </c>
      <c r="E13" s="34">
        <f>C35*'E Balans VL '!I23/100/3.6*1000000</f>
        <v>0.58106592932338219</v>
      </c>
      <c r="F13" s="34">
        <f>C35*'E Balans VL '!L23/100/3.6*1000000+C35*'E Balans VL '!N23/100/3.6*1000000</f>
        <v>2.8178029550871648</v>
      </c>
      <c r="G13" s="35"/>
      <c r="H13" s="34"/>
      <c r="I13" s="34"/>
      <c r="J13" s="41">
        <f>C35*'E Balans VL '!D23/100/3.6*1000000+C35*'E Balans VL '!E23/100/3.6*1000000</f>
        <v>0</v>
      </c>
      <c r="K13" s="34"/>
      <c r="L13" s="34"/>
      <c r="M13" s="34"/>
      <c r="N13" s="34">
        <f>C35*'E Balans VL '!Y23/100/3.6*1000000</f>
        <v>6.2773804285846833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20057.0721346221</v>
      </c>
      <c r="C15" s="34"/>
      <c r="D15" s="38">
        <f>IF( ISERROR(IND_rest_gas_kWh/1000),0,IND_rest_gas_kWh/1000)*0.902</f>
        <v>242700.50215929069</v>
      </c>
      <c r="E15" s="34">
        <f>C37*'E Balans VL '!I15/100/3.6*1000000</f>
        <v>180.22665147854971</v>
      </c>
      <c r="F15" s="34">
        <f>C37*'E Balans VL '!L15/100/3.6*1000000+C37*'E Balans VL '!N15/100/3.6*1000000</f>
        <v>3949.6480804096086</v>
      </c>
      <c r="G15" s="35"/>
      <c r="H15" s="34"/>
      <c r="I15" s="34"/>
      <c r="J15" s="41">
        <f>C37*'E Balans VL '!D15/100/3.6*1000000+C37*'E Balans VL '!E15/100/3.6*1000000</f>
        <v>100.86241072356175</v>
      </c>
      <c r="K15" s="34"/>
      <c r="L15" s="34"/>
      <c r="M15" s="34"/>
      <c r="N15" s="34">
        <f>C37*'E Balans VL '!Y15/100/3.6*1000000</f>
        <v>615.6992749435517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27349.62727242224</v>
      </c>
      <c r="C18" s="22">
        <f>C5+C16</f>
        <v>0</v>
      </c>
      <c r="D18" s="22">
        <f>MAX((D5+D16),0)</f>
        <v>242748.8448884486</v>
      </c>
      <c r="E18" s="22">
        <f>MAX((E5+E16),0)</f>
        <v>250.13145605277001</v>
      </c>
      <c r="F18" s="22">
        <f>MAX((F5+F16),0)</f>
        <v>5130.2603752944706</v>
      </c>
      <c r="G18" s="22"/>
      <c r="H18" s="22"/>
      <c r="I18" s="22"/>
      <c r="J18" s="22">
        <f>MAX((J5+J16),0)</f>
        <v>101.60105129315689</v>
      </c>
      <c r="K18" s="22"/>
      <c r="L18" s="22">
        <f>MAX((L5+L16),0)</f>
        <v>0</v>
      </c>
      <c r="M18" s="22"/>
      <c r="N18" s="22">
        <f>MAX((N5+N16),0)</f>
        <v>762.10525469455888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0.21008493462006075</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5745.7446574098567</v>
      </c>
      <c r="C22" s="24">
        <f ca="1">C18*C20</f>
        <v>0</v>
      </c>
      <c r="D22" s="24">
        <f>D18*D20</f>
        <v>49035.266667466618</v>
      </c>
      <c r="E22" s="24">
        <f>E18*E20</f>
        <v>56.779840523978791</v>
      </c>
      <c r="F22" s="24">
        <f>F18*F20</f>
        <v>1369.7795202036236</v>
      </c>
      <c r="G22" s="24"/>
      <c r="H22" s="24"/>
      <c r="I22" s="24"/>
      <c r="J22" s="24">
        <f>J18*J20</f>
        <v>35.966772157777534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40.324751574316601</v>
      </c>
      <c r="C30" s="40">
        <f>IF(ISERROR(B30*3.6/1000000/'E Balans VL '!Z18*100),0,B30*3.6/1000000/'E Balans VL '!Z18*100)</f>
        <v>2.2438027758104619E-3</v>
      </c>
      <c r="D30" s="236" t="s">
        <v>691</v>
      </c>
    </row>
    <row r="31" spans="1:18">
      <c r="A31" s="6" t="s">
        <v>32</v>
      </c>
      <c r="B31" s="38">
        <f>IF( ISERROR(IND_ander_ele_kWh/1000),0,IND_ander_ele_kWh/1000)</f>
        <v>538.96834203372202</v>
      </c>
      <c r="C31" s="40">
        <f>IF(ISERROR(B31*3.6/1000000/'E Balans VL '!Z19*100),0,B31*3.6/1000000/'E Balans VL '!Z19*100)</f>
        <v>2.505522272712702E-2</v>
      </c>
      <c r="D31" s="236" t="s">
        <v>691</v>
      </c>
    </row>
    <row r="32" spans="1:18">
      <c r="A32" s="171" t="s">
        <v>40</v>
      </c>
      <c r="B32" s="38">
        <f>IF( ISERROR(IND_voed_ele_kWh/1000),0,IND_voed_ele_kWh/1000)</f>
        <v>6696.2027020054802</v>
      </c>
      <c r="C32" s="40">
        <f>IF(ISERROR(B32*3.6/1000000/'E Balans VL '!Z20*100),0,B32*3.6/1000000/'E Balans VL '!Z20*100)</f>
        <v>0.23669724196180861</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17.059342186622299</v>
      </c>
      <c r="C35" s="40">
        <f>IF(ISERROR(B35*3.6/1000000/'E Balans VL '!Z22*100),0,B35*3.6/1000000/'E Balans VL '!Z22*100)</f>
        <v>3.4284467223135045E-3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20057.0721346221</v>
      </c>
      <c r="C37" s="40">
        <f>IF(ISERROR(B37*3.6/1000000/'E Balans VL '!Z15*100),0,B37*3.6/1000000/'E Balans VL '!Z15*100)</f>
        <v>0.15146052339225408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4826.7862342554472</v>
      </c>
      <c r="C5" s="18">
        <f>'Eigen informatie GS &amp; warmtenet'!B60</f>
        <v>0</v>
      </c>
      <c r="D5" s="31">
        <f>IF(ISERROR(SUM(LB_lb_gas_kWh,LB_rest_gas_kWh)/1000),0,SUM(LB_lb_gas_kWh,LB_rest_gas_kWh)/1000)*0.902</f>
        <v>21795.751675394687</v>
      </c>
      <c r="E5" s="18">
        <f>B17*'E Balans VL '!I25/3.6*1000000/100</f>
        <v>45.471560379550219</v>
      </c>
      <c r="F5" s="18">
        <f>B17*('E Balans VL '!L25/3.6*1000000+'E Balans VL '!N25/3.6*1000000)/100</f>
        <v>15751.405352045256</v>
      </c>
      <c r="G5" s="19"/>
      <c r="H5" s="18"/>
      <c r="I5" s="18"/>
      <c r="J5" s="18">
        <f>('E Balans VL '!D25+'E Balans VL '!E25)/3.6*1000000*landbouw!B17/100</f>
        <v>597.09693466113242</v>
      </c>
      <c r="K5" s="18"/>
      <c r="L5" s="18">
        <f>L6*(-1)</f>
        <v>0</v>
      </c>
      <c r="M5" s="18"/>
      <c r="N5" s="18">
        <f>N6*(-1)</f>
        <v>0</v>
      </c>
      <c r="O5" s="18"/>
      <c r="P5" s="18"/>
      <c r="R5" s="33"/>
    </row>
    <row r="6" spans="1:18">
      <c r="A6" s="17" t="s">
        <v>495</v>
      </c>
      <c r="B6" s="18" t="s">
        <v>210</v>
      </c>
      <c r="C6" s="18">
        <f>'lokale energieproductie'!O39+'lokale energieproductie'!O32</f>
        <v>9495</v>
      </c>
      <c r="D6" s="305">
        <f>('lokale energieproductie'!P32+'lokale energieproductie'!P39)*(-1)</f>
        <v>-18990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4826.7862342554472</v>
      </c>
      <c r="C8" s="22">
        <f>C5+C6</f>
        <v>9495</v>
      </c>
      <c r="D8" s="22">
        <f>MAX((D5+D6),0)</f>
        <v>2805.7516753946875</v>
      </c>
      <c r="E8" s="22">
        <f>MAX((E5+E6),0)</f>
        <v>45.471560379550219</v>
      </c>
      <c r="F8" s="22">
        <f>MAX((F5+F6),0)</f>
        <v>15751.405352045256</v>
      </c>
      <c r="G8" s="22"/>
      <c r="H8" s="22"/>
      <c r="I8" s="22"/>
      <c r="J8" s="22">
        <f>MAX((J5+J6),0)</f>
        <v>597.09693466113242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0.21008493462006075</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1014.0350704485649</v>
      </c>
      <c r="C12" s="24">
        <f ca="1">C8*C10</f>
        <v>2256.4588235294118</v>
      </c>
      <c r="D12" s="24">
        <f>D8*D10</f>
        <v>566.76183842972694</v>
      </c>
      <c r="E12" s="24">
        <f>E8*E10</f>
        <v>10.3220442061579</v>
      </c>
      <c r="F12" s="24">
        <f>F8*F10</f>
        <v>4205.6252289960839</v>
      </c>
      <c r="G12" s="24"/>
      <c r="H12" s="24"/>
      <c r="I12" s="24"/>
      <c r="J12" s="24">
        <f>J8*J10</f>
        <v>211.37231487004087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0.6534697265397631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588.28475121735949</v>
      </c>
      <c r="C26" s="246">
        <f>B26*'GWP N2O_CH4'!B5</f>
        <v>12353.979775564549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420.76041920225106</v>
      </c>
      <c r="C27" s="246">
        <f>B27*'GWP N2O_CH4'!B5</f>
        <v>8835.9688032472714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11.264343968088664</v>
      </c>
      <c r="C28" s="246">
        <f>B28*'GWP N2O_CH4'!B4</f>
        <v>3491.9466301074858</v>
      </c>
      <c r="D28" s="51"/>
    </row>
    <row r="29" spans="1:4">
      <c r="A29" s="42" t="s">
        <v>272</v>
      </c>
      <c r="B29" s="246">
        <f>B34*'ha_N2O bodem landbouw'!B4</f>
        <v>23.341024062722454</v>
      </c>
      <c r="C29" s="246">
        <f>B29*'GWP N2O_CH4'!B4</f>
        <v>7235.7174594439603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6.3013417152692885E-3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7.6141225483147182E-6</v>
      </c>
      <c r="C5" s="435" t="s">
        <v>210</v>
      </c>
      <c r="D5" s="420">
        <f>SUM(D6:D11)</f>
        <v>1.0845521373990727E-5</v>
      </c>
      <c r="E5" s="420">
        <f>SUM(E6:E11)</f>
        <v>6.8704056673715762E-4</v>
      </c>
      <c r="F5" s="433" t="s">
        <v>210</v>
      </c>
      <c r="G5" s="420">
        <f>SUM(G6:G11)</f>
        <v>0.14437289583805707</v>
      </c>
      <c r="H5" s="420">
        <f>SUM(H6:H11)</f>
        <v>2.5823708623437781E-2</v>
      </c>
      <c r="I5" s="435" t="s">
        <v>210</v>
      </c>
      <c r="J5" s="435" t="s">
        <v>210</v>
      </c>
      <c r="K5" s="435" t="s">
        <v>210</v>
      </c>
      <c r="L5" s="435" t="s">
        <v>210</v>
      </c>
      <c r="M5" s="420">
        <f>SUM(M6:M11)</f>
        <v>7.6068344131789926E-3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4.1451439260207631E-6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4.8277723311900635E-6</v>
      </c>
      <c r="E6" s="423">
        <f>vkm_GW_PW*SUMIFS(TableVerdeelsleutelVkm[LPG],TableVerdeelsleutelVkm[Voertuigtype],"Lichte voertuigen")*SUMIFS(TableECFTransport[EnergieConsumptieFactor (PJ per km)],TableECFTransport[Index],CONCATENATE($A6,"_LPG_LPG"))</f>
        <v>3.1321346289047341E-4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4.8867188927270662E-2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1.1776984799874796E-2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2.7138307237209542E-3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1.3837842902004352E-7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2.2890846012592093E-2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6.1424296859283846E-7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1.0185679734091258E-3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3.0507473340919529E-6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5.803046357136383E-6</v>
      </c>
      <c r="E8" s="423">
        <f>vkm_NGW_PW*SUMIFS(TableVerdeelsleutelVkm[LPG],TableVerdeelsleutelVkm[Voertuigtype],"Lichte voertuigen")*SUMIFS(TableECFTransport[EnergieConsumptieFactor (PJ per km)],TableECFTransport[Index],CONCATENATE($A8,"_LPG_LPG"))</f>
        <v>3.5670722905581771E-4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5.2392359315536041E-2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1.3494161441210649E-2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2.9493425103044395E-3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7.330046041250158E-8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1.5549097089851558E-2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3.9273078585873136E-7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6.9188297391221834E-4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1.9249803614454401E-7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2.1470268566428123E-7</v>
      </c>
      <c r="E10" s="423">
        <f>vkm_SW_PW*SUMIFS(TableVerdeelsleutelVkm[LPG],TableVerdeelsleutelVkm[Voertuigtype],"Lichte voertuigen")*SUMIFS(TableECFTransport[EnergieConsumptieFactor (PJ per km)],TableECFTransport[Index],CONCATENATE($A10,"_LPG_LPG"))</f>
        <v>1.7119874790866478E-5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2.4956317974845423E-3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5.5149119701261367E-4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1.3630618669154728E-4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1.405436262491333E-8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2.1777726953221476E-3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6.4211585274237726E-8</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9.6904045140708099E-5</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2.1150340411985327</v>
      </c>
      <c r="C14" s="22"/>
      <c r="D14" s="22">
        <f t="shared" ref="D14:M14" si="0">((D5)*10^9/3600)+D12</f>
        <v>3.0126448261085352</v>
      </c>
      <c r="E14" s="22">
        <f t="shared" si="0"/>
        <v>190.84460187143267</v>
      </c>
      <c r="F14" s="22"/>
      <c r="G14" s="22">
        <f t="shared" si="0"/>
        <v>40103.582177238073</v>
      </c>
      <c r="H14" s="22">
        <f t="shared" si="0"/>
        <v>7173.2523953993832</v>
      </c>
      <c r="I14" s="22"/>
      <c r="J14" s="22"/>
      <c r="K14" s="22"/>
      <c r="L14" s="22"/>
      <c r="M14" s="22">
        <f t="shared" si="0"/>
        <v>2113.0095592163866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0.21008493462006075</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0.4443367882643966</v>
      </c>
      <c r="C18" s="24"/>
      <c r="D18" s="24">
        <f t="shared" ref="D18:M18" si="1">D14*D16</f>
        <v>0.60855425487392412</v>
      </c>
      <c r="E18" s="24">
        <f t="shared" si="1"/>
        <v>43.321724624815218</v>
      </c>
      <c r="F18" s="24"/>
      <c r="G18" s="24">
        <f t="shared" si="1"/>
        <v>10707.656441322566</v>
      </c>
      <c r="H18" s="24">
        <f t="shared" si="1"/>
        <v>1786.1398464544463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1.9014851075164256E-5</v>
      </c>
      <c r="C50" s="316">
        <f t="shared" ref="C50:P50" si="2">SUM(C51:C52)</f>
        <v>0</v>
      </c>
      <c r="D50" s="316">
        <f t="shared" si="2"/>
        <v>0</v>
      </c>
      <c r="E50" s="316">
        <f t="shared" si="2"/>
        <v>0</v>
      </c>
      <c r="F50" s="316">
        <f t="shared" si="2"/>
        <v>0</v>
      </c>
      <c r="G50" s="316">
        <f t="shared" si="2"/>
        <v>3.7925495359629868E-3</v>
      </c>
      <c r="H50" s="316">
        <f t="shared" si="2"/>
        <v>0</v>
      </c>
      <c r="I50" s="316">
        <f t="shared" si="2"/>
        <v>0</v>
      </c>
      <c r="J50" s="316">
        <f t="shared" si="2"/>
        <v>0</v>
      </c>
      <c r="K50" s="316">
        <f t="shared" si="2"/>
        <v>0</v>
      </c>
      <c r="L50" s="316">
        <f t="shared" si="2"/>
        <v>0</v>
      </c>
      <c r="M50" s="316">
        <f t="shared" si="2"/>
        <v>1.6762665019756821E-4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1.9014851075164256E-5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3.7925495359629868E-3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1.6762665019756821E-4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5.2819030764345163</v>
      </c>
      <c r="C54" s="22">
        <f t="shared" ref="C54:P54" si="3">(C50)*10^9/3600</f>
        <v>0</v>
      </c>
      <c r="D54" s="22">
        <f t="shared" si="3"/>
        <v>0</v>
      </c>
      <c r="E54" s="22">
        <f t="shared" si="3"/>
        <v>0</v>
      </c>
      <c r="F54" s="22">
        <f t="shared" si="3"/>
        <v>0</v>
      </c>
      <c r="G54" s="22">
        <f t="shared" si="3"/>
        <v>1053.4859822119408</v>
      </c>
      <c r="H54" s="22">
        <f t="shared" si="3"/>
        <v>0</v>
      </c>
      <c r="I54" s="22">
        <f t="shared" si="3"/>
        <v>0</v>
      </c>
      <c r="J54" s="22">
        <f t="shared" si="3"/>
        <v>0</v>
      </c>
      <c r="K54" s="22">
        <f t="shared" si="3"/>
        <v>0</v>
      </c>
      <c r="L54" s="22">
        <f t="shared" si="3"/>
        <v>0</v>
      </c>
      <c r="M54" s="22">
        <f t="shared" si="3"/>
        <v>46.562958388213389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0.21008493462006075</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1.109648262482243</v>
      </c>
      <c r="C58" s="24">
        <f t="shared" ref="C58:P58" ca="1" si="4">C54*C56</f>
        <v>0</v>
      </c>
      <c r="D58" s="24">
        <f t="shared" si="4"/>
        <v>0</v>
      </c>
      <c r="E58" s="24">
        <f t="shared" si="4"/>
        <v>0</v>
      </c>
      <c r="F58" s="24">
        <f t="shared" si="4"/>
        <v>0</v>
      </c>
      <c r="G58" s="24">
        <f t="shared" si="4"/>
        <v>281.28075725058824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3254.1377349283057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6646.5</v>
      </c>
      <c r="C8" s="546">
        <f>B48</f>
        <v>7819.411764705882</v>
      </c>
      <c r="D8" s="969"/>
      <c r="E8" s="969">
        <f>E48</f>
        <v>0</v>
      </c>
      <c r="F8" s="970"/>
      <c r="G8" s="547"/>
      <c r="H8" s="969">
        <f>I48</f>
        <v>0</v>
      </c>
      <c r="I8" s="969">
        <f>G48+F48</f>
        <v>0</v>
      </c>
      <c r="J8" s="969">
        <f>H48+D48+C48</f>
        <v>0</v>
      </c>
      <c r="K8" s="969"/>
      <c r="L8" s="969"/>
      <c r="M8" s="969"/>
      <c r="N8" s="548"/>
      <c r="O8" s="549">
        <f>C8*$C$12+D8*$D$12+E8*$E$12+F8*$F$12+G8*$G$12+H8*$H$12+I8*$I$12+J8*$J$12</f>
        <v>1579.5211764705882</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9900.6377349283066</v>
      </c>
      <c r="C10" s="558">
        <f t="shared" ref="C10:L10" si="0">SUM(C8:C9)</f>
        <v>7819.411764705882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1579.5211764705882</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9495</v>
      </c>
      <c r="C17" s="570">
        <f>B49</f>
        <v>11170.588235294117</v>
      </c>
      <c r="D17" s="571"/>
      <c r="E17" s="571">
        <f>E49</f>
        <v>0</v>
      </c>
      <c r="F17" s="572"/>
      <c r="G17" s="573"/>
      <c r="H17" s="570">
        <f>I49</f>
        <v>0</v>
      </c>
      <c r="I17" s="571">
        <f>G49+F49</f>
        <v>0</v>
      </c>
      <c r="J17" s="571">
        <f>H49+D49+C49</f>
        <v>0</v>
      </c>
      <c r="K17" s="571"/>
      <c r="L17" s="571"/>
      <c r="M17" s="571"/>
      <c r="N17" s="976"/>
      <c r="O17" s="574">
        <f>C17*$C$22+E17*$E$22+H17*$H$22+I17*$I$22+J17*$J$22+D17*$D$22+F17*$F$22+G17*$G$22+K17*$K$22+L17*$L$22</f>
        <v>2256.4588235294118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9495</v>
      </c>
      <c r="C20" s="557">
        <f>SUM(C17:C19)</f>
        <v>11170.588235294117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2256.4588235294118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33040</v>
      </c>
      <c r="C28" s="777">
        <v>8920</v>
      </c>
      <c r="D28" s="630" t="s">
        <v>965</v>
      </c>
      <c r="E28" s="629" t="s">
        <v>966</v>
      </c>
      <c r="F28" s="629" t="s">
        <v>967</v>
      </c>
      <c r="G28" s="629" t="s">
        <v>968</v>
      </c>
      <c r="H28" s="629" t="s">
        <v>969</v>
      </c>
      <c r="I28" s="629" t="s">
        <v>966</v>
      </c>
      <c r="J28" s="776">
        <v>40584</v>
      </c>
      <c r="K28" s="776">
        <v>40584</v>
      </c>
      <c r="L28" s="629" t="s">
        <v>970</v>
      </c>
      <c r="M28" s="629">
        <v>1477</v>
      </c>
      <c r="N28" s="629">
        <v>6646.5</v>
      </c>
      <c r="O28" s="629">
        <v>9495</v>
      </c>
      <c r="P28" s="629">
        <v>18990</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1477</v>
      </c>
      <c r="N29" s="587">
        <f>SUM(N28:N28)</f>
        <v>6646.5</v>
      </c>
      <c r="O29" s="587">
        <f>SUM(O28:O28)</f>
        <v>9495</v>
      </c>
      <c r="P29" s="587">
        <f>SUM(P28:P28)</f>
        <v>18990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1477</v>
      </c>
      <c r="N32" s="592">
        <f>SUMIF($Z$28:$Z$28,"landbouw",N28:N28)</f>
        <v>6646.5</v>
      </c>
      <c r="O32" s="592">
        <f>SUMIF($Z$28:$Z$28,"landbouw",O28:O28)</f>
        <v>9495</v>
      </c>
      <c r="P32" s="592">
        <f>SUMIF($Z$28:$Z$28,"landbouw",P28:P28)</f>
        <v>18990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7819.411764705882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11170.588235294117</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2021-06-29T16:43:17Z</dcterms:modified>
</cp:coreProperties>
</file>