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O15" i="48"/>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<sst xmlns="http://schemas.openxmlformats.org/spreadsheetml/2006/main" count="2565" uniqueCount="965">
  <si>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</si>
  <si>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</si>
  <si>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</si>
  <si>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</si>
  <si>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</si>
  <si>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</si>
  <si>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</si>
  <si>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</si>
  <si>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</si>
  <si>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</si>
  <si>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</si>
  <si>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</si>
  <si>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</si>
  <si>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</si>
  <si>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</si>
  <si>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</si>
  <si>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</si>
  <si>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</si>
  <si>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</si>
  <si>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</si>
  <si>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</si>
  <si>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</si>
  <si>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</si>
  <si>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</si>
  <si>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</si>
  <si>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</si>
  <si>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</si>
  <si>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</si>
  <si>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</si>
  <si>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</si>
  <si>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</si>
  <si>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</si>
  <si>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</si>
  <si>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</si>
  <si>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</si>
  <si>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</si>
  <si>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</si>
  <si>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</si>
  <si>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</si>
  <si>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</si>
  <si>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</si>
  <si>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</si>
  <si>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</si>
  <si>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</si>
  <si>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</si>
  <si>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</si>
  <si>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</si>
  <si>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</si>
  <si>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</si>
  <si>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</si>
  <si>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</si>
  <si>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</si>
  <si>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</si>
  <si>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</si>
  <si>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</si>
  <si>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</si>
  <si>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</si>
  <si>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</si>
  <si>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</si>
  <si>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</si>
  <si>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</si>
  <si>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</si>
  <si>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</si>
  <si>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</si>
  <si>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</si>
  <si>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</si>
  <si>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</si>
  <si>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</si>
  <si>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</si>
  <si>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</si>
  <si>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</si>
  <si>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</si>
  <si>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</si>
  <si>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</si>
  <si>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</si>
  <si>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</si>
  <si>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</si>
  <si>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</si>
  <si>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</si>
  <si>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</si>
  <si>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</si>
  <si>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</si>
  <si>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</si>
  <si>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</si>
  <si>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</si>
  <si>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</si>
  <si>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</si>
  <si>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</si>
  <si>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</si>
  <si>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</si>
  <si>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</si>
  <si>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</si>
  <si>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</si>
  <si>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</si>
  <si>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</si>
  <si>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</si>
  <si>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</si>
  <si>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</si>
  <si>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</si>
  <si>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</si>
  <si>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</si>
  <si>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</si>
  <si>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</si>
  <si>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</si>
  <si>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</si>
  <si>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</si>
  <si>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</si>
  <si>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</si>
  <si>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</si>
  <si>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</si>
  <si>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</si>
  <si>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</si>
  <si>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</si>
  <si>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</si>
  <si>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</si>
  <si>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</si>
  <si>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</si>
  <si>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</si>
  <si>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</si>
  <si>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</si>
  <si>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</si>
  <si>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</si>
  <si>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</si>
  <si>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</si>
  <si>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</si>
  <si>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</si>
  <si>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</si>
  <si>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</si>
  <si>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</si>
  <si>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</si>
  <si>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</si>
  <si>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</si>
  <si>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</si>
  <si>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</si>
  <si>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</si>
  <si>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</si>
  <si>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</si>
  <si>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</si>
  <si>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</si>
  <si>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</si>
  <si>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</si>
  <si>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</si>
  <si>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</si>
  <si>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</si>
  <si>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</si>
  <si>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</si>
  <si>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</si>
  <si>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</si>
  <si>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</si>
  <si>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</si>
  <si>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</si>
  <si>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</si>
  <si>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</si>
  <si>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</si>
  <si>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</si>
  <si>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</si>
  <si>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</si>
  <si>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</si>
  <si>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</si>
  <si>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</si>
  <si>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</si>
  <si>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</si>
  <si>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</si>
  <si>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</si>
  <si>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</si>
  <si>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</si>
  <si>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</si>
  <si>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</si>
  <si>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</si>
  <si>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</si>
  <si>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</si>
  <si>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</si>
  <si>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</si>
  <si>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</si>
  <si>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</si>
  <si>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</si>
  <si>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</si>
  <si>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</si>
  <si>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</si>
  <si>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</si>
  <si>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</si>
  <si>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</si>
  <si>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</si>
  <si>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</si>
  <si>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</si>
  <si>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</si>
  <si>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</si>
  <si>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</si>
  <si>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</si>
  <si>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</si>
  <si>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</si>
  <si>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</si>
  <si>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</si>
  <si>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</si>
  <si>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</si>
  <si>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</si>
  <si>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</si>
  <si>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</si>
  <si>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</si>
  <si>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</si>
  <si>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</si>
  <si>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</si>
  <si>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</si>
  <si>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</si>
  <si>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</si>
  <si>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</si>
  <si>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</si>
  <si>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</si>
  <si>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</si>
  <si>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</si>
  <si>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</si>
  <si>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</si>
  <si>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</si>
  <si>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</si>
  <si>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</si>
  <si>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</si>
  <si>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</si>
  <si>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</si>
  <si>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</si>
  <si>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</si>
  <si>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</si>
  <si>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</si>
  <si>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</si>
  <si>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</si>
  <si>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</si>
  <si>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</si>
  <si>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</si>
  <si>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</si>
  <si>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</si>
  <si>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</si>
  <si>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</si>
  <si>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</si>
  <si>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</si>
  <si>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</si>
  <si>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</si>
  <si>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</si>
  <si>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</si>
  <si>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</si>
  <si>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</si>
  <si>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</si>
  <si>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</si>
  <si>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</si>
  <si>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</si>
  <si>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</si>
  <si>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</si>
  <si>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</si>
  <si>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</si>
  <si>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</si>
  <si>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</si>
  <si>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</si>
  <si>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</si>
  <si>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</si>
  <si>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</si>
  <si>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</si>
  <si>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</si>
  <si>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</si>
  <si>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</si>
  <si>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</si>
  <si>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</si>
  <si>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</si>
  <si>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</si>
  <si>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</si>
  <si>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</si>
  <si>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</si>
  <si>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</si>
  <si>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</si>
  <si>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</si>
  <si>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</si>
  <si>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</si>
  <si>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</si>
  <si>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</si>
  <si>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</si>
  <si>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</si>
  <si>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</si>
  <si>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</si>
  <si>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</si>
  <si>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</si>
  <si>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</si>
  <si>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</si>
  <si>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</si>
  <si>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</si>
  <si>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</si>
  <si>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</si>
  <si>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</si>
  <si>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</si>
  <si>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</si>
  <si>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</si>
  <si>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</si>
  <si>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</si>
  <si>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</si>
  <si>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</si>
  <si>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</si>
  <si>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</si>
  <si>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</si>
  <si>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</si>
  <si>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</si>
  <si>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</si>
  <si>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</si>
  <si>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</si>
  <si>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</si>
  <si>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</si>
  <si>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</si>
  <si>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</si>
  <si>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</si>
  <si>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</si>
  <si>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</si>
  <si>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</si>
  <si>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</si>
  <si>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</si>
  <si>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</si>
  <si>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</si>
  <si>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</si>
  <si>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</si>
  <si>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</si>
  <si>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</si>
  <si>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</si>
  <si>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</si>
  <si>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</si>
  <si>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</si>
  <si>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</si>
  <si>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</si>
  <si>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</si>
  <si>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</si>
  <si>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</si>
  <si>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</si>
  <si>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</si>
  <si>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</si>
  <si>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</si>
  <si>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</si>
  <si>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</si>
  <si>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</si>
  <si>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</si>
  <si>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</si>
  <si>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</si>
  <si>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</si>
  <si>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</si>
  <si>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</si>
  <si>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</si>
  <si>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</si>
  <si>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</si>
  <si>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</si>
  <si>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</si>
  <si>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</si>
  <si>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</si>
  <si>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</si>
  <si>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</si>
  <si>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</si>
  <si>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</si>
  <si>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</si>
  <si>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</si>
  <si>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</si>
  <si>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</si>
  <si>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</si>
  <si>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</si>
  <si>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</si>
  <si>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</si>
  <si>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</si>
  <si>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</si>
  <si>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</si>
  <si>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</si>
  <si>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</si>
  <si>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</si>
  <si>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</si>
  <si>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</si>
  <si>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</si>
  <si>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</si>
  <si>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</si>
  <si>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</si>
  <si>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</si>
  <si>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</si>
  <si>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</si>
  <si>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</si>
  <si>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</si>
  <si>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</si>
  <si>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</si>
  <si>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</si>
  <si>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</si>
  <si>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</si>
  <si>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</si>
  <si>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</si>
  <si>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</si>
  <si>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</si>
  <si>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</si>
  <si>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</si>
  <si>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</si>
  <si>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</si>
  <si>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</si>
  <si>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</si>
  <si>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</si>
  <si>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</si>
  <si>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</si>
  <si>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</si>
  <si>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</si>
  <si>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</si>
  <si>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</si>
  <si>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</si>
  <si>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</si>
  <si>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</si>
  <si>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</si>
  <si>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</si>
  <si>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</si>
  <si>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</si>
  <si>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</si>
  <si>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</si>
  <si>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</si>
  <si>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</si>
  <si>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</si>
  <si>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</si>
  <si>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</si>
  <si>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</si>
  <si>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</si>
  <si>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</si>
  <si>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</si>
  <si>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</si>
  <si>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</si>
  <si>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</si>
  <si>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</si>
  <si>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</si>
  <si>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</si>
  <si>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</si>
  <si>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</si>
  <si>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</si>
  <si>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</si>
  <si>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</si>
  <si>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</si>
  <si>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</si>
  <si>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</si>
  <si>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</si>
  <si>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</si>
  <si>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</si>
  <si>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</si>
  <si>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</si>
  <si>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</si>
  <si>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</si>
  <si>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</si>
  <si>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</si>
  <si>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</si>
  <si>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</si>
  <si>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</si>
  <si>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</si>
  <si>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</si>
  <si>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</si>
  <si>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</si>
  <si>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</si>
  <si>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</si>
  <si>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</si>
  <si>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</si>
  <si>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</si>
  <si>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</si>
  <si>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</si>
  <si>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</si>
  <si>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</si>
  <si>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</si>
  <si>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</si>
  <si>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</si>
  <si>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</si>
  <si>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</si>
  <si>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</si>
  <si>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</si>
  <si>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</si>
  <si>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</si>
  <si>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</si>
  <si>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</si>
  <si>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</si>
  <si>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</si>
  <si>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</si>
  <si>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</si>
  <si>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</si>
  <si>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</si>
  <si>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</si>
  <si>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</si>
  <si>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</si>
  <si>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</si>
  <si>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</si>
  <si>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</si>
  <si>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</si>
  <si>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</si>
  <si>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</si>
  <si>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</si>
  <si>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</si>
  <si>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</si>
  <si>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</si>
  <si>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</si>
  <si>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</si>
  <si>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</si>
  <si>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</si>
  <si>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</si>
  <si>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</si>
  <si>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</si>
  <si>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</si>
  <si>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</si>
  <si>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</si>
  <si>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</si>
  <si>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</si>
  <si>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</si>
  <si>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</si>
  <si>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</si>
  <si>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</si>
  <si>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</si>
  <si>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</si>
  <si>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</si>
  <si>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</si>
  <si>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</si>
  <si>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</si>
  <si>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</si>
  <si>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</si>
  <si>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</si>
  <si>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</si>
  <si>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</si>
  <si>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</si>
  <si>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</si>
  <si>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</si>
  <si>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</si>
  <si>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</si>
  <si>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</si>
  <si>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</si>
  <si>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</si>
  <si>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</si>
  <si>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</si>
  <si>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</si>
  <si>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</si>
  <si>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</si>
  <si>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</si>
  <si>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</si>
  <si>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</si>
  <si>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</si>
  <si>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</si>
  <si>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</si>
  <si>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</si>
  <si>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</si>
  <si>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</si>
  <si>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</si>
  <si>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</si>
  <si>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</si>
  <si>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</si>
  <si>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</si>
  <si>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</si>
  <si>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</si>
  <si>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</si>
  <si>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</si>
  <si>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</si>
  <si>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</si>
  <si>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</si>
  <si>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</si>
  <si>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</si>
  <si>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</si>
  <si>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</si>
  <si>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</si>
  <si>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</si>
  <si>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</si>
  <si>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</si>
  <si>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</si>
  <si>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</si>
  <si>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</si>
  <si>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</si>
  <si>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</si>
  <si>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</si>
  <si>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</si>
  <si>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</si>
  <si>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</si>
  <si>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</si>
  <si>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</si>
  <si>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</si>
  <si>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</si>
  <si>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</si>
  <si>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</si>
  <si>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</si>
  <si>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</si>
  <si>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</si>
  <si>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</si>
  <si>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</si>
  <si>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</si>
  <si>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</si>
  <si>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</si>
  <si>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</si>
  <si>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</si>
  <si>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</si>
  <si>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</si>
  <si>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</si>
  <si>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</si>
  <si>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</si>
  <si>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</si>
  <si>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</si>
  <si>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</si>
  <si>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</si>
  <si>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</si>
  <si>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</si>
  <si>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</si>
  <si>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</si>
  <si>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</si>
  <si>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</si>
  <si>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</si>
  <si>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</si>
  <si>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</si>
  <si>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</si>
  <si>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</si>
  <si>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</si>
  <si>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</si>
  <si>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</si>
  <si>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</si>
  <si>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</si>
  <si>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</si>
  <si>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</si>
  <si>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</si>
  <si>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</si>
  <si>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</si>
  <si>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</si>
  <si>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</si>
  <si>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</si>
  <si>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</si>
  <si>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</si>
  <si>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</si>
  <si>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</si>
  <si>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</si>
  <si>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</si>
  <si>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</si>
  <si>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</si>
  <si>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</si>
  <si>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</si>
  <si>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</si>
  <si>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</si>
  <si>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</si>
  <si>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</si>
  <si>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</si>
  <si>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</si>
  <si>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</si>
  <si>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</si>
  <si>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</si>
  <si>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</si>
  <si>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</si>
  <si>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</si>
  <si>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</si>
  <si>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</si>
  <si>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</si>
  <si>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</si>
  <si>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</si>
  <si>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</si>
  <si>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</si>
  <si>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</si>
  <si>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</si>
  <si>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</si>
  <si>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</si>
  <si>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</si>
  <si>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</si>
  <si>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</si>
  <si>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</si>
  <si>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</si>
  <si>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</si>
  <si>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</si>
  <si>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</si>
  <si>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</si>
  <si>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</si>
  <si>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</si>
  <si>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</si>
  <si>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</si>
  <si>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</si>
  <si>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</si>
  <si>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</si>
  <si>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</si>
  <si>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</si>
  <si>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</si>
  <si>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</si>
  <si>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</si>
  <si>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</si>
  <si>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</si>
  <si>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</si>
  <si>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</si>
  <si>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</si>
  <si>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</si>
  <si>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</si>
  <si>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</si>
  <si>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</si>
  <si>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</si>
  <si>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</si>
  <si>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</si>
  <si>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</si>
  <si>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</si>
  <si>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</si>
  <si>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</si>
  <si>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</si>
  <si>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</si>
  <si>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</si>
  <si>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</si>
  <si>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</si>
  <si>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</si>
  <si>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</si>
  <si>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</si>
  <si>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</si>
  <si>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</si>
  <si>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</si>
  <si>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</si>
  <si>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</si>
  <si>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</si>
  <si>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</si>
  <si>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</si>
  <si>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</si>
  <si>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</si>
  <si>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</si>
  <si>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</si>
  <si>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</si>
  <si>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</si>
  <si>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</si>
  <si>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</si>
  <si>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</si>
  <si>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</si>
  <si>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</si>
  <si>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</si>
  <si>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</si>
  <si>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</si>
  <si>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</si>
  <si>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</si>
  <si>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</si>
  <si>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</si>
  <si>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</si>
  <si>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</si>
  <si>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</si>
  <si>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</si>
  <si>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</si>
  <si>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</si>
  <si>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</si>
  <si>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</si>
  <si>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</si>
  <si>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</si>
  <si>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</si>
  <si>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</si>
  <si>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</si>
  <si>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</si>
  <si>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</si>
  <si>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</si>
  <si>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</si>
  <si>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</si>
  <si>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</si>
  <si>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</si>
  <si>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</si>
  <si>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</si>
  <si>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</si>
  <si>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</si>
  <si>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</si>
  <si>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</si>
  <si>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</si>
  <si>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</si>
  <si>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</si>
  <si>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</si>
  <si>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</si>
  <si>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</si>
  <si>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</si>
  <si>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</si>
  <si>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</si>
  <si>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</si>
  <si>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</si>
  <si>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</si>
  <si>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</si>
  <si>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</si>
  <si>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</si>
  <si>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</si>
  <si>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</si>
  <si>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</si>
  <si>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</si>
  <si>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</si>
  <si>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</si>
  <si>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</si>
  <si>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</si>
  <si>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</si>
  <si>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</si>
  <si>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</si>
  <si>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</si>
  <si>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</si>
  <si>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</si>
  <si>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</si>
  <si>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</si>
  <si>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</si>
  <si>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</si>
  <si>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</si>
  <si>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</si>
  <si>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</si>
  <si>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</si>
  <si>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</si>
  <si>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</si>
  <si>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</si>
  <si>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</si>
  <si>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</si>
  <si>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</si>
  <si>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</si>
  <si>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</si>
  <si>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</si>
  <si>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</si>
  <si>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</si>
  <si>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</si>
  <si>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</si>
  <si>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</si>
  <si>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</si>
  <si>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</si>
  <si>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</si>
  <si>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</si>
  <si>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</si>
  <si>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</si>
  <si>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</si>
  <si>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</si>
  <si>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</si>
  <si>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</si>
  <si>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</si>
  <si>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</si>
  <si>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</si>
  <si>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</si>
  <si>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</si>
  <si>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</si>
  <si>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</si>
  <si>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</si>
  <si>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</si>
  <si>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</si>
  <si>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</si>
  <si>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</si>
  <si>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</si>
  <si>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</si>
  <si>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</si>
  <si>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</si>
  <si>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</si>
  <si>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</si>
  <si>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</si>
  <si>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</si>
  <si>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</si>
  <si>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</si>
  <si>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</si>
  <si>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</si>
  <si>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</si>
  <si>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</si>
  <si>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</si>
  <si>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</si>
  <si>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</si>
  <si>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</si>
  <si>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</si>
  <si>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</si>
  <si>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</si>
  <si>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</si>
  <si>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</si>
  <si>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</si>
  <si>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</si>
  <si>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</si>
  <si>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</si>
  <si>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</si>
  <si>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</si>
  <si>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</si>
  <si>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</si>
  <si>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</si>
  <si>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</si>
  <si>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</si>
  <si>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</si>
  <si>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</si>
  <si>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</si>
  <si>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</si>
  <si>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</si>
  <si>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</si>
  <si>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</si>
  <si>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</si>
  <si>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</si>
  <si>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</si>
  <si>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</si>
  <si>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</si>
  <si>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</si>
  <si>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</si>
  <si>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</si>
  <si>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</si>
  <si>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</si>
  <si>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</si>
  <si>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</si>
  <si>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</si>
  <si>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</si>
  <si>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</si>
  <si>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</si>
  <si>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</si>
  <si>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</si>
  <si>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</si>
  <si>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</si>
  <si>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</si>
  <si>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</si>
  <si>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</si>
  <si>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</si>
  <si>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</si>
  <si>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</si>
  <si>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</si>
  <si>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</si>
  <si>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</si>
  <si>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</si>
  <si>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</si>
  <si>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</si>
  <si>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</si>
  <si>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</si>
  <si>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</si>
  <si>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</si>
  <si>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</si>
  <si>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</si>
  <si>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</si>
  <si>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</si>
  <si>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</si>
  <si>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</si>
  <si>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</si>
  <si>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</si>
  <si>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</si>
  <si>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</si>
  <si>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</si>
  <si>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</si>
  <si>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</si>
  <si>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</si>
  <si>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</si>
  <si>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</si>
  <si>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</si>
  <si>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</si>
  <si>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</si>
  <si>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</si>
  <si>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</si>
  <si>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</si>
  <si>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</si>
  <si>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</si>
  <si>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</si>
  <si>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</si>
  <si>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</si>
  <si>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</si>
  <si>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</si>
  <si>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</si>
  <si>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</si>
  <si>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</si>
  <si>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</si>
  <si>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</si>
  <si>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</si>
  <si>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</si>
  <si>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</si>
  <si>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</si>
  <si>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</si>
  <si>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</si>
  <si>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</si>
  <si>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</si>
  <si>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</si>
  <si>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</si>
  <si>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</si>
  <si>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</si>
  <si>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</si>
  <si>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</si>
  <si>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</si>
  <si>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</si>
  <si>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</si>
  <si>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</si>
  <si>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</si>
  <si>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</si>
  <si>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</si>
  <si>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</si>
  <si>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</si>
  <si>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</si>
  <si>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</si>
  <si>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</si>
  <si>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</si>
  <si>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</si>
  <si>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</si>
  <si>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</si>
  <si>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</si>
  <si>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</si>
  <si>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</si>
  <si>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</si>
  <si>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</si>
  <si>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</si>
  <si>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32030</t>
  </si>
  <si>
    <t>LO-RENINGE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</si>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</sst>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32030</v>
      </c>
      <c r="B6" s="386"/>
      <c r="C6" s="387"/>
    </row>
    <row r="7" spans="1:7" s="384" customFormat="1" ht="15.75" customHeight="1">
      <c r="A7" s="388" t="str">
        <f>txtMunicipality</f>
        <v>LO-RENINGE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3784.6108175612521</v>
      </c>
      <c r="D10" s="676">
        <f ca="1">tertiair!C16</f>
        <v>0</v>
      </c>
      <c r="E10" s="676">
        <f ca="1">tertiair!D16</f>
        <v>4285.4518761921709</v>
      </c>
      <c r="F10" s="676">
        <f>tertiair!E16</f>
        <v>53.551936284226514</v>
      </c>
      <c r="G10" s="676">
        <f ca="1">tertiair!F16</f>
        <v>760.59665333527846</v>
      </c>
      <c r="H10" s="676">
        <f>tertiair!G16</f>
        <v>0</v>
      </c>
      <c r="I10" s="676">
        <f>tertiair!H16</f>
        <v>0</v>
      </c>
      <c r="J10" s="676">
        <f>tertiair!I16</f>
        <v>0</v>
      </c>
      <c r="K10" s="676">
        <f>tertiair!J16</f>
        <v>0</v>
      </c>
      <c r="L10" s="676">
        <f>tertiair!K16</f>
        <v>0</v>
      </c>
      <c r="M10" s="676">
        <f ca="1">tertiair!L16</f>
        <v>0</v>
      </c>
      <c r="N10" s="676">
        <f>tertiair!M16</f>
        <v>0</v>
      </c>
      <c r="O10" s="676">
        <f ca="1">tertiair!N16</f>
        <v>374.24094046401387</v>
      </c>
      <c r="P10" s="676">
        <f>tertiair!O16</f>
        <v>0</v>
      </c>
      <c r="Q10" s="677">
        <f>tertiair!P16</f>
        <v>38.133333333333333</v>
      </c>
      <c r="R10" s="679">
        <f ca="1">SUM(C10:Q10)</f>
        <v>9296.5855571702759</v>
      </c>
      <c r="S10" s="68"/>
    </row>
    <row r="11" spans="1:19" s="445" customFormat="1">
      <c r="A11" s="791" t="s">
        <v>220</v>
      </c>
      <c r="B11" s="796"/>
      <c r="C11" s="676">
        <f>huishoudens!B8</f>
        <v>5760.4981569472275</v>
      </c>
      <c r="D11" s="676">
        <f>huishoudens!C8</f>
        <v>0</v>
      </c>
      <c r="E11" s="676">
        <f>huishoudens!D8</f>
        <v>7510.0043329735399</v>
      </c>
      <c r="F11" s="676">
        <f>huishoudens!E8</f>
        <v>389.10274419324344</v>
      </c>
      <c r="G11" s="676">
        <f>huishoudens!F8</f>
        <v>11862.612990065021</v>
      </c>
      <c r="H11" s="676">
        <f>huishoudens!G8</f>
        <v>0</v>
      </c>
      <c r="I11" s="676">
        <f>huishoudens!H8</f>
        <v>0</v>
      </c>
      <c r="J11" s="676">
        <f>huishoudens!I8</f>
        <v>0</v>
      </c>
      <c r="K11" s="676">
        <f>huishoudens!J8</f>
        <v>215.24297922665363</v>
      </c>
      <c r="L11" s="676">
        <f>huishoudens!K8</f>
        <v>0</v>
      </c>
      <c r="M11" s="676">
        <f>huishoudens!L8</f>
        <v>0</v>
      </c>
      <c r="N11" s="676">
        <f>huishoudens!M8</f>
        <v>0</v>
      </c>
      <c r="O11" s="676">
        <f>huishoudens!N8</f>
        <v>1872.6103807482882</v>
      </c>
      <c r="P11" s="676">
        <f>huishoudens!O8</f>
        <v>50.026666666666671</v>
      </c>
      <c r="Q11" s="677">
        <f>huishoudens!P8</f>
        <v>76.266666666666666</v>
      </c>
      <c r="R11" s="679">
        <f>SUM(C11:Q11)</f>
        <v>27736.364917487306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3977.9441235138197</v>
      </c>
      <c r="D13" s="676">
        <f>industrie!C18</f>
        <v>0</v>
      </c>
      <c r="E13" s="676">
        <f>industrie!D18</f>
        <v>198.13504565536954</v>
      </c>
      <c r="F13" s="676">
        <f>industrie!E18</f>
        <v>34.465849941803114</v>
      </c>
      <c r="G13" s="676">
        <f>industrie!F18</f>
        <v>984.3412501524125</v>
      </c>
      <c r="H13" s="676">
        <f>industrie!G18</f>
        <v>0</v>
      </c>
      <c r="I13" s="676">
        <f>industrie!H18</f>
        <v>0</v>
      </c>
      <c r="J13" s="676">
        <f>industrie!I18</f>
        <v>0</v>
      </c>
      <c r="K13" s="676">
        <f>industrie!J18</f>
        <v>28.00326412979603</v>
      </c>
      <c r="L13" s="676">
        <f>industrie!K18</f>
        <v>0</v>
      </c>
      <c r="M13" s="676">
        <f>industrie!L18</f>
        <v>0</v>
      </c>
      <c r="N13" s="676">
        <f>industrie!M18</f>
        <v>0</v>
      </c>
      <c r="O13" s="676">
        <f>industrie!N18</f>
        <v>117.31149507481913</v>
      </c>
      <c r="P13" s="676">
        <f>industrie!O18</f>
        <v>0</v>
      </c>
      <c r="Q13" s="677">
        <f>industrie!P18</f>
        <v>0</v>
      </c>
      <c r="R13" s="679">
        <f>SUM(C13:Q13)</f>
        <v>5340.20102846802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13523.053098022299</v>
      </c>
      <c r="D16" s="709">
        <f t="shared" ref="D16:R16" ca="1" si="0">SUM(D9:D15)</f>
        <v>0</v>
      </c>
      <c r="E16" s="709">
        <f t="shared" ca="1" si="0"/>
        <v>11993.59125482108</v>
      </c>
      <c r="F16" s="709">
        <f t="shared" si="0"/>
        <v>477.12053041927305</v>
      </c>
      <c r="G16" s="709">
        <f t="shared" ca="1" si="0"/>
        <v>13607.550893552712</v>
      </c>
      <c r="H16" s="709">
        <f t="shared" si="0"/>
        <v>0</v>
      </c>
      <c r="I16" s="709">
        <f t="shared" si="0"/>
        <v>0</v>
      </c>
      <c r="J16" s="709">
        <f t="shared" si="0"/>
        <v>0</v>
      </c>
      <c r="K16" s="709">
        <f t="shared" si="0"/>
        <v>243.24624335644967</v>
      </c>
      <c r="L16" s="709">
        <f t="shared" si="0"/>
        <v>0</v>
      </c>
      <c r="M16" s="709">
        <f t="shared" ca="1" si="0"/>
        <v>0</v>
      </c>
      <c r="N16" s="709">
        <f t="shared" si="0"/>
        <v>0</v>
      </c>
      <c r="O16" s="709">
        <f t="shared" ca="1" si="0"/>
        <v>2364.1628162871211</v>
      </c>
      <c r="P16" s="709">
        <f t="shared" si="0"/>
        <v>50.026666666666671</v>
      </c>
      <c r="Q16" s="709">
        <f t="shared" si="0"/>
        <v>114.4</v>
      </c>
      <c r="R16" s="709">
        <f t="shared" ca="1" si="0"/>
        <v>42373.151503125606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1.1719003532429488</v>
      </c>
      <c r="D19" s="676">
        <f>transport!C54</f>
        <v>0</v>
      </c>
      <c r="E19" s="676">
        <f>transport!D54</f>
        <v>0</v>
      </c>
      <c r="F19" s="676">
        <f>transport!E54</f>
        <v>0</v>
      </c>
      <c r="G19" s="676">
        <f>transport!F54</f>
        <v>0</v>
      </c>
      <c r="H19" s="676">
        <f>transport!G54</f>
        <v>233.73783593243388</v>
      </c>
      <c r="I19" s="676">
        <f>transport!H54</f>
        <v>0</v>
      </c>
      <c r="J19" s="676">
        <f>transport!I54</f>
        <v>0</v>
      </c>
      <c r="K19" s="676">
        <f>transport!J54</f>
        <v>0</v>
      </c>
      <c r="L19" s="676">
        <f>transport!K54</f>
        <v>0</v>
      </c>
      <c r="M19" s="676">
        <f>transport!L54</f>
        <v>0</v>
      </c>
      <c r="N19" s="676">
        <f>transport!M54</f>
        <v>10.330963403444146</v>
      </c>
      <c r="O19" s="676">
        <f>transport!N54</f>
        <v>0</v>
      </c>
      <c r="P19" s="676">
        <f>transport!O54</f>
        <v>0</v>
      </c>
      <c r="Q19" s="677">
        <f>transport!P54</f>
        <v>0</v>
      </c>
      <c r="R19" s="679">
        <f>SUM(C19:Q19)</f>
        <v>245.24069968912099</v>
      </c>
      <c r="S19" s="68"/>
    </row>
    <row r="20" spans="1:19" s="445" customFormat="1">
      <c r="A20" s="791" t="s">
        <v>302</v>
      </c>
      <c r="B20" s="796"/>
      <c r="C20" s="676">
        <f>transport!B14</f>
        <v>1.1329861093767546</v>
      </c>
      <c r="D20" s="676">
        <f>transport!C14</f>
        <v>0</v>
      </c>
      <c r="E20" s="676">
        <f>transport!D14</f>
        <v>1.747867079545979</v>
      </c>
      <c r="F20" s="676">
        <f>transport!E14</f>
        <v>109.323218668742</v>
      </c>
      <c r="G20" s="676">
        <f>transport!F14</f>
        <v>0</v>
      </c>
      <c r="H20" s="676">
        <f>transport!G14</f>
        <v>21818.220625594862</v>
      </c>
      <c r="I20" s="676">
        <f>transport!H14</f>
        <v>4127.5967254132147</v>
      </c>
      <c r="J20" s="676">
        <f>transport!I14</f>
        <v>0</v>
      </c>
      <c r="K20" s="676">
        <f>transport!J14</f>
        <v>0</v>
      </c>
      <c r="L20" s="676">
        <f>transport!K14</f>
        <v>0</v>
      </c>
      <c r="M20" s="676">
        <f>transport!L14</f>
        <v>0</v>
      </c>
      <c r="N20" s="676">
        <f>transport!M14</f>
        <v>1159.8828276860968</v>
      </c>
      <c r="O20" s="676">
        <f>transport!N14</f>
        <v>0</v>
      </c>
      <c r="P20" s="676">
        <f>transport!O14</f>
        <v>0</v>
      </c>
      <c r="Q20" s="677">
        <f>transport!P14</f>
        <v>0</v>
      </c>
      <c r="R20" s="679">
        <f>SUM(C20:Q20)</f>
        <v>27217.904250551837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2.3048864626197032</v>
      </c>
      <c r="D22" s="794">
        <f t="shared" ref="D22:R22" si="1">SUM(D18:D21)</f>
        <v>0</v>
      </c>
      <c r="E22" s="794">
        <f t="shared" si="1"/>
        <v>1.747867079545979</v>
      </c>
      <c r="F22" s="794">
        <f t="shared" si="1"/>
        <v>109.323218668742</v>
      </c>
      <c r="G22" s="794">
        <f t="shared" si="1"/>
        <v>0</v>
      </c>
      <c r="H22" s="794">
        <f t="shared" si="1"/>
        <v>22051.958461527298</v>
      </c>
      <c r="I22" s="794">
        <f t="shared" si="1"/>
        <v>4127.5967254132147</v>
      </c>
      <c r="J22" s="794">
        <f t="shared" si="1"/>
        <v>0</v>
      </c>
      <c r="K22" s="794">
        <f t="shared" si="1"/>
        <v>0</v>
      </c>
      <c r="L22" s="794">
        <f t="shared" si="1"/>
        <v>0</v>
      </c>
      <c r="M22" s="794">
        <f t="shared" si="1"/>
        <v>0</v>
      </c>
      <c r="N22" s="794">
        <f t="shared" si="1"/>
        <v>1170.213791089541</v>
      </c>
      <c r="O22" s="794">
        <f t="shared" si="1"/>
        <v>0</v>
      </c>
      <c r="P22" s="794">
        <f t="shared" si="1"/>
        <v>0</v>
      </c>
      <c r="Q22" s="794">
        <f t="shared" si="1"/>
        <v>0</v>
      </c>
      <c r="R22" s="794">
        <f t="shared" si="1"/>
        <v>27463.14495024096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6014.1261698653743</v>
      </c>
      <c r="D24" s="676">
        <f>+landbouw!C8</f>
        <v>0</v>
      </c>
      <c r="E24" s="676">
        <f>+landbouw!D8</f>
        <v>149.58109760149921</v>
      </c>
      <c r="F24" s="676">
        <f>+landbouw!E8</f>
        <v>56.657098116848886</v>
      </c>
      <c r="G24" s="676">
        <f>+landbouw!F8</f>
        <v>19626.089605458885</v>
      </c>
      <c r="H24" s="676">
        <f>+landbouw!G8</f>
        <v>0</v>
      </c>
      <c r="I24" s="676">
        <f>+landbouw!H8</f>
        <v>0</v>
      </c>
      <c r="J24" s="676">
        <f>+landbouw!I8</f>
        <v>0</v>
      </c>
      <c r="K24" s="676">
        <f>+landbouw!J8</f>
        <v>743.9766599164177</v>
      </c>
      <c r="L24" s="676">
        <f>+landbouw!K8</f>
        <v>0</v>
      </c>
      <c r="M24" s="676">
        <f>+landbouw!L8</f>
        <v>0</v>
      </c>
      <c r="N24" s="676">
        <f>+landbouw!M8</f>
        <v>0</v>
      </c>
      <c r="O24" s="676">
        <f>+landbouw!N8</f>
        <v>0</v>
      </c>
      <c r="P24" s="676">
        <f>+landbouw!O8</f>
        <v>0</v>
      </c>
      <c r="Q24" s="677">
        <f>+landbouw!P8</f>
        <v>0</v>
      </c>
      <c r="R24" s="679">
        <f>SUM(C24:Q24)</f>
        <v>26590.430630959025</v>
      </c>
      <c r="S24" s="68"/>
    </row>
    <row r="25" spans="1:19" s="445" customFormat="1" ht="15" thickBot="1">
      <c r="A25" s="813" t="s">
        <v>879</v>
      </c>
      <c r="B25" s="979"/>
      <c r="C25" s="980">
        <f>IF(Onbekend_ele_kWh="---",0,Onbekend_ele_kWh)/1000+IF(REST_rest_ele_kWh="---",0,REST_rest_ele_kWh)/1000</f>
        <v>302.06739783345199</v>
      </c>
      <c r="D25" s="980"/>
      <c r="E25" s="980">
        <f>IF(onbekend_gas_kWh="---",0,onbekend_gas_kWh)/1000+IF(REST_rest_gas_kWh="---",0,REST_rest_gas_kWh)/1000</f>
        <v>349.772486846329</v>
      </c>
      <c r="F25" s="980"/>
      <c r="G25" s="980"/>
      <c r="H25" s="980"/>
      <c r="I25" s="980"/>
      <c r="J25" s="980"/>
      <c r="K25" s="980"/>
      <c r="L25" s="980"/>
      <c r="M25" s="980"/>
      <c r="N25" s="980"/>
      <c r="O25" s="980"/>
      <c r="P25" s="980"/>
      <c r="Q25" s="981"/>
      <c r="R25" s="679">
        <f>SUM(C25:Q25)</f>
        <v>651.83988467978099</v>
      </c>
      <c r="S25" s="68"/>
    </row>
    <row r="26" spans="1:19" s="445" customFormat="1" ht="15.75" thickBot="1">
      <c r="A26" s="682" t="s">
        <v>880</v>
      </c>
      <c r="B26" s="799"/>
      <c r="C26" s="794">
        <f>SUM(C24:C25)</f>
        <v>6316.193567698826</v>
      </c>
      <c r="D26" s="794">
        <f t="shared" ref="D26:R26" si="2">SUM(D24:D25)</f>
        <v>0</v>
      </c>
      <c r="E26" s="794">
        <f t="shared" si="2"/>
        <v>499.35358444782821</v>
      </c>
      <c r="F26" s="794">
        <f t="shared" si="2"/>
        <v>56.657098116848886</v>
      </c>
      <c r="G26" s="794">
        <f t="shared" si="2"/>
        <v>19626.089605458885</v>
      </c>
      <c r="H26" s="794">
        <f t="shared" si="2"/>
        <v>0</v>
      </c>
      <c r="I26" s="794">
        <f t="shared" si="2"/>
        <v>0</v>
      </c>
      <c r="J26" s="794">
        <f t="shared" si="2"/>
        <v>0</v>
      </c>
      <c r="K26" s="794">
        <f t="shared" si="2"/>
        <v>743.9766599164177</v>
      </c>
      <c r="L26" s="794">
        <f t="shared" si="2"/>
        <v>0</v>
      </c>
      <c r="M26" s="794">
        <f t="shared" si="2"/>
        <v>0</v>
      </c>
      <c r="N26" s="794">
        <f t="shared" si="2"/>
        <v>0</v>
      </c>
      <c r="O26" s="794">
        <f t="shared" si="2"/>
        <v>0</v>
      </c>
      <c r="P26" s="794">
        <f t="shared" si="2"/>
        <v>0</v>
      </c>
      <c r="Q26" s="794">
        <f t="shared" si="2"/>
        <v>0</v>
      </c>
      <c r="R26" s="794">
        <f t="shared" si="2"/>
        <v>27242.270515638807</v>
      </c>
      <c r="S26" s="68"/>
    </row>
    <row r="27" spans="1:19" s="445" customFormat="1" ht="17.25" thickTop="1" thickBot="1">
      <c r="A27" s="683" t="s">
        <v>115</v>
      </c>
      <c r="B27" s="786"/>
      <c r="C27" s="684">
        <f ca="1">C22+C16+C26</f>
        <v>19841.551552183744</v>
      </c>
      <c r="D27" s="684">
        <f t="shared" ref="D27:R27" ca="1" si="3">D22+D16+D26</f>
        <v>0</v>
      </c>
      <c r="E27" s="684">
        <f t="shared" ca="1" si="3"/>
        <v>12494.692706348455</v>
      </c>
      <c r="F27" s="684">
        <f t="shared" si="3"/>
        <v>643.10084720486384</v>
      </c>
      <c r="G27" s="684">
        <f t="shared" ca="1" si="3"/>
        <v>33233.640499011599</v>
      </c>
      <c r="H27" s="684">
        <f t="shared" si="3"/>
        <v>22051.958461527298</v>
      </c>
      <c r="I27" s="684">
        <f t="shared" si="3"/>
        <v>4127.5967254132147</v>
      </c>
      <c r="J27" s="684">
        <f t="shared" si="3"/>
        <v>0</v>
      </c>
      <c r="K27" s="684">
        <f t="shared" si="3"/>
        <v>987.22290327286737</v>
      </c>
      <c r="L27" s="684">
        <f t="shared" si="3"/>
        <v>0</v>
      </c>
      <c r="M27" s="684">
        <f t="shared" ca="1" si="3"/>
        <v>0</v>
      </c>
      <c r="N27" s="684">
        <f t="shared" si="3"/>
        <v>1170.213791089541</v>
      </c>
      <c r="O27" s="684">
        <f t="shared" ca="1" si="3"/>
        <v>2364.1628162871211</v>
      </c>
      <c r="P27" s="684">
        <f t="shared" si="3"/>
        <v>50.026666666666671</v>
      </c>
      <c r="Q27" s="684">
        <f t="shared" si="3"/>
        <v>114.4</v>
      </c>
      <c r="R27" s="684">
        <f t="shared" ca="1" si="3"/>
        <v>97078.566969005376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712.26050399865039</v>
      </c>
      <c r="D40" s="676">
        <f ca="1">tertiair!C20</f>
        <v>0</v>
      </c>
      <c r="E40" s="676">
        <f ca="1">tertiair!D20</f>
        <v>865.66127899081857</v>
      </c>
      <c r="F40" s="676">
        <f>tertiair!E20</f>
        <v>12.156289536519418</v>
      </c>
      <c r="G40" s="676">
        <f ca="1">tertiair!F20</f>
        <v>203.07930644051936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1793.1573789665076</v>
      </c>
    </row>
    <row r="41" spans="1:18">
      <c r="A41" s="804" t="s">
        <v>220</v>
      </c>
      <c r="B41" s="811"/>
      <c r="C41" s="676">
        <f ca="1">huishoudens!B12</f>
        <v>1084.1208035214638</v>
      </c>
      <c r="D41" s="676">
        <f ca="1">huishoudens!C12</f>
        <v>0</v>
      </c>
      <c r="E41" s="676">
        <f>huishoudens!D12</f>
        <v>1517.0208752606552</v>
      </c>
      <c r="F41" s="676">
        <f>huishoudens!E12</f>
        <v>88.326322931866258</v>
      </c>
      <c r="G41" s="676">
        <f>huishoudens!F12</f>
        <v>3167.3176683473607</v>
      </c>
      <c r="H41" s="676">
        <f>huishoudens!G12</f>
        <v>0</v>
      </c>
      <c r="I41" s="676">
        <f>huishoudens!H12</f>
        <v>0</v>
      </c>
      <c r="J41" s="676">
        <f>huishoudens!I12</f>
        <v>0</v>
      </c>
      <c r="K41" s="676">
        <f>huishoudens!J12</f>
        <v>76.196014646235383</v>
      </c>
      <c r="L41" s="676">
        <f>huishoudens!K12</f>
        <v>0</v>
      </c>
      <c r="M41" s="676">
        <f>huishoudens!L12</f>
        <v>0</v>
      </c>
      <c r="N41" s="676">
        <f>huishoudens!M12</f>
        <v>0</v>
      </c>
      <c r="O41" s="676">
        <f>huishoudens!N12</f>
        <v>0</v>
      </c>
      <c r="P41" s="676">
        <f>huishoudens!O12</f>
        <v>0</v>
      </c>
      <c r="Q41" s="751">
        <f>huishoudens!P12</f>
        <v>0</v>
      </c>
      <c r="R41" s="832">
        <f t="shared" ca="1" si="4"/>
        <v>5932.9816847075817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748.64566606036942</v>
      </c>
      <c r="D43" s="676">
        <f ca="1">industrie!C22</f>
        <v>0</v>
      </c>
      <c r="E43" s="676">
        <f>industrie!D22</f>
        <v>40.023279222384652</v>
      </c>
      <c r="F43" s="676">
        <f>industrie!E22</f>
        <v>7.8237479367893075</v>
      </c>
      <c r="G43" s="676">
        <f>industrie!F22</f>
        <v>262.81911379069413</v>
      </c>
      <c r="H43" s="676">
        <f>industrie!G22</f>
        <v>0</v>
      </c>
      <c r="I43" s="676">
        <f>industrie!H22</f>
        <v>0</v>
      </c>
      <c r="J43" s="676">
        <f>industrie!I22</f>
        <v>0</v>
      </c>
      <c r="K43" s="676">
        <f>industrie!J22</f>
        <v>9.9131555019477933</v>
      </c>
      <c r="L43" s="676">
        <f>industrie!K22</f>
        <v>0</v>
      </c>
      <c r="M43" s="676">
        <f>industrie!L22</f>
        <v>0</v>
      </c>
      <c r="N43" s="676">
        <f>industrie!M22</f>
        <v>0</v>
      </c>
      <c r="O43" s="676">
        <f>industrie!N22</f>
        <v>0</v>
      </c>
      <c r="P43" s="676">
        <f>industrie!O22</f>
        <v>0</v>
      </c>
      <c r="Q43" s="751">
        <f>industrie!P22</f>
        <v>0</v>
      </c>
      <c r="R43" s="831">
        <f t="shared" ca="1" si="4"/>
        <v>1069.2249625121854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2545.0269735804836</v>
      </c>
      <c r="D46" s="709">
        <f t="shared" ref="D46:Q46" ca="1" si="5">SUM(D39:D45)</f>
        <v>0</v>
      </c>
      <c r="E46" s="709">
        <f t="shared" ca="1" si="5"/>
        <v>2422.7054334738582</v>
      </c>
      <c r="F46" s="709">
        <f t="shared" si="5"/>
        <v>108.30636040517498</v>
      </c>
      <c r="G46" s="709">
        <f t="shared" ca="1" si="5"/>
        <v>3633.2160885785743</v>
      </c>
      <c r="H46" s="709">
        <f t="shared" si="5"/>
        <v>0</v>
      </c>
      <c r="I46" s="709">
        <f t="shared" si="5"/>
        <v>0</v>
      </c>
      <c r="J46" s="709">
        <f t="shared" si="5"/>
        <v>0</v>
      </c>
      <c r="K46" s="709">
        <f t="shared" si="5"/>
        <v>86.109170148183182</v>
      </c>
      <c r="L46" s="709">
        <f t="shared" si="5"/>
        <v>0</v>
      </c>
      <c r="M46" s="709">
        <f t="shared" ca="1" si="5"/>
        <v>0</v>
      </c>
      <c r="N46" s="709">
        <f t="shared" si="5"/>
        <v>0</v>
      </c>
      <c r="O46" s="709">
        <f t="shared" ca="1" si="5"/>
        <v>0</v>
      </c>
      <c r="P46" s="709">
        <f t="shared" si="5"/>
        <v>0</v>
      </c>
      <c r="Q46" s="709">
        <f t="shared" si="5"/>
        <v>0</v>
      </c>
      <c r="R46" s="709">
        <f ca="1">SUM(R39:R45)</f>
        <v>8795.3640261862747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0.22055063954366821</v>
      </c>
      <c r="D49" s="676">
        <f ca="1">transport!C58</f>
        <v>0</v>
      </c>
      <c r="E49" s="676">
        <f>transport!D58</f>
        <v>0</v>
      </c>
      <c r="F49" s="676">
        <f>transport!E58</f>
        <v>0</v>
      </c>
      <c r="G49" s="676">
        <f>transport!F58</f>
        <v>0</v>
      </c>
      <c r="H49" s="676">
        <f>transport!G58</f>
        <v>62.408002193959852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62.62855283350352</v>
      </c>
    </row>
    <row r="50" spans="1:18">
      <c r="A50" s="807" t="s">
        <v>302</v>
      </c>
      <c r="B50" s="817"/>
      <c r="C50" s="986">
        <f ca="1">transport!B18</f>
        <v>0.21322701228449276</v>
      </c>
      <c r="D50" s="986">
        <f>transport!C18</f>
        <v>0</v>
      </c>
      <c r="E50" s="986">
        <f>transport!D18</f>
        <v>0.35306915006828776</v>
      </c>
      <c r="F50" s="986">
        <f>transport!E18</f>
        <v>24.816370637804436</v>
      </c>
      <c r="G50" s="986">
        <f>transport!F18</f>
        <v>0</v>
      </c>
      <c r="H50" s="986">
        <f>transport!G18</f>
        <v>5825.4649070338282</v>
      </c>
      <c r="I50" s="986">
        <f>transport!H18</f>
        <v>1027.7715846278904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6878.6191584618764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0.43377765182816097</v>
      </c>
      <c r="D52" s="709">
        <f t="shared" ref="D52:Q52" ca="1" si="6">SUM(D48:D51)</f>
        <v>0</v>
      </c>
      <c r="E52" s="709">
        <f t="shared" si="6"/>
        <v>0.35306915006828776</v>
      </c>
      <c r="F52" s="709">
        <f t="shared" si="6"/>
        <v>24.816370637804436</v>
      </c>
      <c r="G52" s="709">
        <f t="shared" si="6"/>
        <v>0</v>
      </c>
      <c r="H52" s="709">
        <f t="shared" si="6"/>
        <v>5887.8729092277881</v>
      </c>
      <c r="I52" s="709">
        <f t="shared" si="6"/>
        <v>1027.7715846278904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6941.2477112953802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1131.8533776268414</v>
      </c>
      <c r="D54" s="986">
        <f ca="1">+landbouw!C12</f>
        <v>0</v>
      </c>
      <c r="E54" s="986">
        <f>+landbouw!D12</f>
        <v>30.215381715502843</v>
      </c>
      <c r="F54" s="986">
        <f>+landbouw!E12</f>
        <v>12.861161272524697</v>
      </c>
      <c r="G54" s="986">
        <f>+landbouw!F12</f>
        <v>5240.1659246575227</v>
      </c>
      <c r="H54" s="986">
        <f>+landbouw!G12</f>
        <v>0</v>
      </c>
      <c r="I54" s="986">
        <f>+landbouw!H12</f>
        <v>0</v>
      </c>
      <c r="J54" s="986">
        <f>+landbouw!I12</f>
        <v>0</v>
      </c>
      <c r="K54" s="986">
        <f>+landbouw!J12</f>
        <v>263.36773761041184</v>
      </c>
      <c r="L54" s="986">
        <f>+landbouw!K12</f>
        <v>0</v>
      </c>
      <c r="M54" s="986">
        <f>+landbouw!L12</f>
        <v>0</v>
      </c>
      <c r="N54" s="986">
        <f>+landbouw!M12</f>
        <v>0</v>
      </c>
      <c r="O54" s="986">
        <f>+landbouw!N12</f>
        <v>0</v>
      </c>
      <c r="P54" s="986">
        <f>+landbouw!O12</f>
        <v>0</v>
      </c>
      <c r="Q54" s="987">
        <f>+landbouw!P12</f>
        <v>0</v>
      </c>
      <c r="R54" s="708">
        <f ca="1">SUM(C54:Q54)</f>
        <v>6678.4635828828032</v>
      </c>
    </row>
    <row r="55" spans="1:18" ht="15" thickBot="1">
      <c r="A55" s="807" t="s">
        <v>879</v>
      </c>
      <c r="B55" s="817"/>
      <c r="C55" s="986">
        <f ca="1">C25*'EF ele_warmte'!B12</f>
        <v>56.848824725670291</v>
      </c>
      <c r="D55" s="986"/>
      <c r="E55" s="986">
        <f>E25*EF_CO2_aardgas</f>
        <v>70.654042342958462</v>
      </c>
      <c r="F55" s="986"/>
      <c r="G55" s="986"/>
      <c r="H55" s="986"/>
      <c r="I55" s="986"/>
      <c r="J55" s="986"/>
      <c r="K55" s="986"/>
      <c r="L55" s="986"/>
      <c r="M55" s="986"/>
      <c r="N55" s="986"/>
      <c r="O55" s="986"/>
      <c r="P55" s="986"/>
      <c r="Q55" s="987"/>
      <c r="R55" s="708">
        <f ca="1">SUM(C55:Q55)</f>
        <v>127.50286706862875</v>
      </c>
    </row>
    <row r="56" spans="1:18" ht="15.75" thickBot="1">
      <c r="A56" s="805" t="s">
        <v>880</v>
      </c>
      <c r="B56" s="818"/>
      <c r="C56" s="709">
        <f ca="1">SUM(C54:C55)</f>
        <v>1188.7022023525117</v>
      </c>
      <c r="D56" s="709">
        <f t="shared" ref="D56:Q56" ca="1" si="7">SUM(D54:D55)</f>
        <v>0</v>
      </c>
      <c r="E56" s="709">
        <f t="shared" si="7"/>
        <v>100.86942405846131</v>
      </c>
      <c r="F56" s="709">
        <f t="shared" si="7"/>
        <v>12.861161272524697</v>
      </c>
      <c r="G56" s="709">
        <f t="shared" si="7"/>
        <v>5240.1659246575227</v>
      </c>
      <c r="H56" s="709">
        <f t="shared" si="7"/>
        <v>0</v>
      </c>
      <c r="I56" s="709">
        <f t="shared" si="7"/>
        <v>0</v>
      </c>
      <c r="J56" s="709">
        <f t="shared" si="7"/>
        <v>0</v>
      </c>
      <c r="K56" s="709">
        <f t="shared" si="7"/>
        <v>263.36773761041184</v>
      </c>
      <c r="L56" s="709">
        <f t="shared" si="7"/>
        <v>0</v>
      </c>
      <c r="M56" s="709">
        <f t="shared" si="7"/>
        <v>0</v>
      </c>
      <c r="N56" s="709">
        <f t="shared" si="7"/>
        <v>0</v>
      </c>
      <c r="O56" s="709">
        <f t="shared" si="7"/>
        <v>0</v>
      </c>
      <c r="P56" s="709">
        <f t="shared" si="7"/>
        <v>0</v>
      </c>
      <c r="Q56" s="710">
        <f t="shared" si="7"/>
        <v>0</v>
      </c>
      <c r="R56" s="711">
        <f ca="1">SUM(R54:R55)</f>
        <v>6805.966449951432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3734.1629535848233</v>
      </c>
      <c r="D61" s="717">
        <f t="shared" ref="D61:Q61" ca="1" si="8">D46+D52+D56</f>
        <v>0</v>
      </c>
      <c r="E61" s="717">
        <f t="shared" ca="1" si="8"/>
        <v>2523.9279266823878</v>
      </c>
      <c r="F61" s="717">
        <f t="shared" si="8"/>
        <v>145.98389231550411</v>
      </c>
      <c r="G61" s="717">
        <f t="shared" ca="1" si="8"/>
        <v>8873.3820132360961</v>
      </c>
      <c r="H61" s="717">
        <f t="shared" si="8"/>
        <v>5887.8729092277881</v>
      </c>
      <c r="I61" s="717">
        <f t="shared" si="8"/>
        <v>1027.7715846278904</v>
      </c>
      <c r="J61" s="717">
        <f t="shared" si="8"/>
        <v>0</v>
      </c>
      <c r="K61" s="717">
        <f t="shared" si="8"/>
        <v>349.47690775859502</v>
      </c>
      <c r="L61" s="717">
        <f t="shared" si="8"/>
        <v>0</v>
      </c>
      <c r="M61" s="717">
        <f t="shared" ca="1" si="8"/>
        <v>0</v>
      </c>
      <c r="N61" s="717">
        <f t="shared" si="8"/>
        <v>0</v>
      </c>
      <c r="O61" s="717">
        <f t="shared" ca="1" si="8"/>
        <v>0</v>
      </c>
      <c r="P61" s="717">
        <f t="shared" si="8"/>
        <v>0</v>
      </c>
      <c r="Q61" s="717">
        <f t="shared" si="8"/>
        <v>0</v>
      </c>
      <c r="R61" s="717">
        <f ca="1">R46+R52+R56</f>
        <v>22542.578187433086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0.18819914076597727</v>
      </c>
      <c r="D63" s="761">
        <f t="shared" ca="1" si="9"/>
        <v>0</v>
      </c>
      <c r="E63" s="988">
        <f t="shared" ca="1" si="9"/>
        <v>0.20200000000000001</v>
      </c>
      <c r="F63" s="761">
        <f t="shared" si="9"/>
        <v>0.22700000000000004</v>
      </c>
      <c r="G63" s="761">
        <f t="shared" ca="1" si="9"/>
        <v>0.26699999999999996</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2944.8866038361257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2944.8866038361257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5760.4981569472275</v>
      </c>
      <c r="C4" s="449">
        <f>huishoudens!C8</f>
        <v>0</v>
      </c>
      <c r="D4" s="449">
        <f>huishoudens!D8</f>
        <v>7510.0043329735399</v>
      </c>
      <c r="E4" s="449">
        <f>huishoudens!E8</f>
        <v>389.10274419324344</v>
      </c>
      <c r="F4" s="449">
        <f>huishoudens!F8</f>
        <v>11862.612990065021</v>
      </c>
      <c r="G4" s="449">
        <f>huishoudens!G8</f>
        <v>0</v>
      </c>
      <c r="H4" s="449">
        <f>huishoudens!H8</f>
        <v>0</v>
      </c>
      <c r="I4" s="449">
        <f>huishoudens!I8</f>
        <v>0</v>
      </c>
      <c r="J4" s="449">
        <f>huishoudens!J8</f>
        <v>215.24297922665363</v>
      </c>
      <c r="K4" s="449">
        <f>huishoudens!K8</f>
        <v>0</v>
      </c>
      <c r="L4" s="449">
        <f>huishoudens!L8</f>
        <v>0</v>
      </c>
      <c r="M4" s="449">
        <f>huishoudens!M8</f>
        <v>0</v>
      </c>
      <c r="N4" s="449">
        <f>huishoudens!N8</f>
        <v>1872.6103807482882</v>
      </c>
      <c r="O4" s="449">
        <f>huishoudens!O8</f>
        <v>50.026666666666671</v>
      </c>
      <c r="P4" s="450">
        <f>huishoudens!P8</f>
        <v>76.266666666666666</v>
      </c>
      <c r="Q4" s="451">
        <f>SUM(B4:P4)</f>
        <v>27736.364917487306</v>
      </c>
    </row>
    <row r="5" spans="1:17">
      <c r="A5" s="448" t="s">
        <v>155</v>
      </c>
      <c r="B5" s="449">
        <f ca="1">tertiair!B16</f>
        <v>3560.540817561252</v>
      </c>
      <c r="C5" s="449">
        <f ca="1">tertiair!C16</f>
        <v>0</v>
      </c>
      <c r="D5" s="449">
        <f ca="1">tertiair!D16</f>
        <v>4285.4518761921709</v>
      </c>
      <c r="E5" s="449">
        <f>tertiair!E16</f>
        <v>53.551936284226514</v>
      </c>
      <c r="F5" s="449">
        <f ca="1">tertiair!F16</f>
        <v>760.59665333527846</v>
      </c>
      <c r="G5" s="449">
        <f>tertiair!G16</f>
        <v>0</v>
      </c>
      <c r="H5" s="449">
        <f>tertiair!H16</f>
        <v>0</v>
      </c>
      <c r="I5" s="449">
        <f>tertiair!I16</f>
        <v>0</v>
      </c>
      <c r="J5" s="449">
        <f>tertiair!J16</f>
        <v>0</v>
      </c>
      <c r="K5" s="449">
        <f>tertiair!K16</f>
        <v>0</v>
      </c>
      <c r="L5" s="449">
        <f ca="1">tertiair!L16</f>
        <v>0</v>
      </c>
      <c r="M5" s="449">
        <f>tertiair!M16</f>
        <v>0</v>
      </c>
      <c r="N5" s="449">
        <f ca="1">tertiair!N16</f>
        <v>374.24094046401387</v>
      </c>
      <c r="O5" s="449">
        <f>tertiair!O16</f>
        <v>0</v>
      </c>
      <c r="P5" s="450">
        <f>tertiair!P16</f>
        <v>38.133333333333333</v>
      </c>
      <c r="Q5" s="448">
        <f t="shared" ref="Q5:Q14" ca="1" si="0">SUM(B5:P5)</f>
        <v>9072.5155571702762</v>
      </c>
    </row>
    <row r="6" spans="1:17">
      <c r="A6" s="448" t="s">
        <v>193</v>
      </c>
      <c r="B6" s="449">
        <f>'openbare verlichting'!B8</f>
        <v>224.07</v>
      </c>
      <c r="C6" s="449"/>
      <c r="D6" s="449"/>
      <c r="E6" s="449"/>
      <c r="F6" s="449"/>
      <c r="G6" s="449"/>
      <c r="H6" s="449"/>
      <c r="I6" s="449"/>
      <c r="J6" s="449"/>
      <c r="K6" s="449"/>
      <c r="L6" s="449"/>
      <c r="M6" s="449"/>
      <c r="N6" s="449"/>
      <c r="O6" s="449"/>
      <c r="P6" s="450"/>
      <c r="Q6" s="448">
        <f t="shared" si="0"/>
        <v>224.07</v>
      </c>
    </row>
    <row r="7" spans="1:17">
      <c r="A7" s="448" t="s">
        <v>111</v>
      </c>
      <c r="B7" s="449">
        <f>landbouw!B8</f>
        <v>6014.1261698653743</v>
      </c>
      <c r="C7" s="449">
        <f>landbouw!C8</f>
        <v>0</v>
      </c>
      <c r="D7" s="449">
        <f>landbouw!D8</f>
        <v>149.58109760149921</v>
      </c>
      <c r="E7" s="449">
        <f>landbouw!E8</f>
        <v>56.657098116848886</v>
      </c>
      <c r="F7" s="449">
        <f>landbouw!F8</f>
        <v>19626.089605458885</v>
      </c>
      <c r="G7" s="449">
        <f>landbouw!G8</f>
        <v>0</v>
      </c>
      <c r="H7" s="449">
        <f>landbouw!H8</f>
        <v>0</v>
      </c>
      <c r="I7" s="449">
        <f>landbouw!I8</f>
        <v>0</v>
      </c>
      <c r="J7" s="449">
        <f>landbouw!J8</f>
        <v>743.9766599164177</v>
      </c>
      <c r="K7" s="449">
        <f>landbouw!K8</f>
        <v>0</v>
      </c>
      <c r="L7" s="449">
        <f>landbouw!L8</f>
        <v>0</v>
      </c>
      <c r="M7" s="449">
        <f>landbouw!M8</f>
        <v>0</v>
      </c>
      <c r="N7" s="449">
        <f>landbouw!N8</f>
        <v>0</v>
      </c>
      <c r="O7" s="449">
        <f>landbouw!O8</f>
        <v>0</v>
      </c>
      <c r="P7" s="450">
        <f>landbouw!P8</f>
        <v>0</v>
      </c>
      <c r="Q7" s="448">
        <f t="shared" si="0"/>
        <v>26590.430630959025</v>
      </c>
    </row>
    <row r="8" spans="1:17">
      <c r="A8" s="448" t="s">
        <v>671</v>
      </c>
      <c r="B8" s="449">
        <f>industrie!B18</f>
        <v>3977.9441235138197</v>
      </c>
      <c r="C8" s="449">
        <f>industrie!C18</f>
        <v>0</v>
      </c>
      <c r="D8" s="449">
        <f>industrie!D18</f>
        <v>198.13504565536954</v>
      </c>
      <c r="E8" s="449">
        <f>industrie!E18</f>
        <v>34.465849941803114</v>
      </c>
      <c r="F8" s="449">
        <f>industrie!F18</f>
        <v>984.3412501524125</v>
      </c>
      <c r="G8" s="449">
        <f>industrie!G18</f>
        <v>0</v>
      </c>
      <c r="H8" s="449">
        <f>industrie!H18</f>
        <v>0</v>
      </c>
      <c r="I8" s="449">
        <f>industrie!I18</f>
        <v>0</v>
      </c>
      <c r="J8" s="449">
        <f>industrie!J18</f>
        <v>28.00326412979603</v>
      </c>
      <c r="K8" s="449">
        <f>industrie!K18</f>
        <v>0</v>
      </c>
      <c r="L8" s="449">
        <f>industrie!L18</f>
        <v>0</v>
      </c>
      <c r="M8" s="449">
        <f>industrie!M18</f>
        <v>0</v>
      </c>
      <c r="N8" s="449">
        <f>industrie!N18</f>
        <v>117.31149507481913</v>
      </c>
      <c r="O8" s="449">
        <f>industrie!O18</f>
        <v>0</v>
      </c>
      <c r="P8" s="450">
        <f>industrie!P18</f>
        <v>0</v>
      </c>
      <c r="Q8" s="448">
        <f t="shared" si="0"/>
        <v>5340.20102846802</v>
      </c>
    </row>
    <row r="9" spans="1:17" s="454" customFormat="1">
      <c r="A9" s="452" t="s">
        <v>568</v>
      </c>
      <c r="B9" s="453">
        <f>transport!B14</f>
        <v>1.1329861093767546</v>
      </c>
      <c r="C9" s="453">
        <f>transport!C14</f>
        <v>0</v>
      </c>
      <c r="D9" s="453">
        <f>transport!D14</f>
        <v>1.747867079545979</v>
      </c>
      <c r="E9" s="453">
        <f>transport!E14</f>
        <v>109.323218668742</v>
      </c>
      <c r="F9" s="453">
        <f>transport!F14</f>
        <v>0</v>
      </c>
      <c r="G9" s="453">
        <f>transport!G14</f>
        <v>21818.220625594862</v>
      </c>
      <c r="H9" s="453">
        <f>transport!H14</f>
        <v>4127.5967254132147</v>
      </c>
      <c r="I9" s="453">
        <f>transport!I14</f>
        <v>0</v>
      </c>
      <c r="J9" s="453">
        <f>transport!J14</f>
        <v>0</v>
      </c>
      <c r="K9" s="453">
        <f>transport!K14</f>
        <v>0</v>
      </c>
      <c r="L9" s="453">
        <f>transport!L14</f>
        <v>0</v>
      </c>
      <c r="M9" s="453">
        <f>transport!M14</f>
        <v>1159.8828276860968</v>
      </c>
      <c r="N9" s="453">
        <f>transport!N14</f>
        <v>0</v>
      </c>
      <c r="O9" s="453">
        <f>transport!O14</f>
        <v>0</v>
      </c>
      <c r="P9" s="453">
        <f>transport!P14</f>
        <v>0</v>
      </c>
      <c r="Q9" s="452">
        <f>SUM(B9:P9)</f>
        <v>27217.904250551837</v>
      </c>
    </row>
    <row r="10" spans="1:17">
      <c r="A10" s="448" t="s">
        <v>558</v>
      </c>
      <c r="B10" s="449">
        <f>transport!B54</f>
        <v>1.1719003532429488</v>
      </c>
      <c r="C10" s="449">
        <f>transport!C54</f>
        <v>0</v>
      </c>
      <c r="D10" s="449">
        <f>transport!D54</f>
        <v>0</v>
      </c>
      <c r="E10" s="449">
        <f>transport!E54</f>
        <v>0</v>
      </c>
      <c r="F10" s="449">
        <f>transport!F54</f>
        <v>0</v>
      </c>
      <c r="G10" s="449">
        <f>transport!G54</f>
        <v>233.73783593243388</v>
      </c>
      <c r="H10" s="449">
        <f>transport!H54</f>
        <v>0</v>
      </c>
      <c r="I10" s="449">
        <f>transport!I54</f>
        <v>0</v>
      </c>
      <c r="J10" s="449">
        <f>transport!J54</f>
        <v>0</v>
      </c>
      <c r="K10" s="449">
        <f>transport!K54</f>
        <v>0</v>
      </c>
      <c r="L10" s="449">
        <f>transport!L54</f>
        <v>0</v>
      </c>
      <c r="M10" s="449">
        <f>transport!M54</f>
        <v>10.330963403444146</v>
      </c>
      <c r="N10" s="449">
        <f>transport!N54</f>
        <v>0</v>
      </c>
      <c r="O10" s="449">
        <f>transport!O54</f>
        <v>0</v>
      </c>
      <c r="P10" s="450">
        <f>transport!P54</f>
        <v>0</v>
      </c>
      <c r="Q10" s="448">
        <f t="shared" si="0"/>
        <v>245.24069968912099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302.06739783345199</v>
      </c>
      <c r="C14" s="456"/>
      <c r="D14" s="456">
        <f>'SEAP template'!E25</f>
        <v>349.772486846329</v>
      </c>
      <c r="E14" s="456"/>
      <c r="F14" s="456"/>
      <c r="G14" s="456"/>
      <c r="H14" s="456"/>
      <c r="I14" s="456"/>
      <c r="J14" s="456"/>
      <c r="K14" s="456"/>
      <c r="L14" s="456"/>
      <c r="M14" s="456"/>
      <c r="N14" s="456"/>
      <c r="O14" s="456"/>
      <c r="P14" s="457"/>
      <c r="Q14" s="448">
        <f t="shared" si="0"/>
        <v>651.83988467978099</v>
      </c>
    </row>
    <row r="15" spans="1:17" s="461" customFormat="1">
      <c r="A15" s="458" t="s">
        <v>562</v>
      </c>
      <c r="B15" s="459">
        <f ca="1">SUM(B4:B14)</f>
        <v>19841.551552183744</v>
      </c>
      <c r="C15" s="459">
        <f t="shared" ref="C15:Q15" ca="1" si="1">SUM(C4:C14)</f>
        <v>0</v>
      </c>
      <c r="D15" s="459">
        <f t="shared" ca="1" si="1"/>
        <v>12494.692706348455</v>
      </c>
      <c r="E15" s="459">
        <f t="shared" si="1"/>
        <v>643.10084720486395</v>
      </c>
      <c r="F15" s="459">
        <f t="shared" ca="1" si="1"/>
        <v>33233.640499011599</v>
      </c>
      <c r="G15" s="459">
        <f t="shared" si="1"/>
        <v>22051.958461527298</v>
      </c>
      <c r="H15" s="459">
        <f t="shared" si="1"/>
        <v>4127.5967254132147</v>
      </c>
      <c r="I15" s="459">
        <f t="shared" si="1"/>
        <v>0</v>
      </c>
      <c r="J15" s="459">
        <f t="shared" si="1"/>
        <v>987.22290327286737</v>
      </c>
      <c r="K15" s="459">
        <f t="shared" si="1"/>
        <v>0</v>
      </c>
      <c r="L15" s="459">
        <f t="shared" ca="1" si="1"/>
        <v>0</v>
      </c>
      <c r="M15" s="459">
        <f t="shared" si="1"/>
        <v>1170.213791089541</v>
      </c>
      <c r="N15" s="459">
        <f t="shared" ca="1" si="1"/>
        <v>2364.1628162871211</v>
      </c>
      <c r="O15" s="459">
        <f t="shared" si="1"/>
        <v>50.026666666666671</v>
      </c>
      <c r="P15" s="459">
        <f t="shared" si="1"/>
        <v>114.4</v>
      </c>
      <c r="Q15" s="459">
        <f t="shared" ca="1" si="1"/>
        <v>97078.566969005362</v>
      </c>
    </row>
    <row r="17" spans="1:17">
      <c r="A17" s="462" t="s">
        <v>563</v>
      </c>
      <c r="B17" s="766">
        <f ca="1">huishoudens!B10</f>
        <v>0.18819914076597727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1084.1208035214638</v>
      </c>
      <c r="C22" s="449">
        <f t="shared" ref="C22:C32" ca="1" si="3">C4*$C$17</f>
        <v>0</v>
      </c>
      <c r="D22" s="449">
        <f t="shared" ref="D22:D32" si="4">D4*$D$17</f>
        <v>1517.0208752606552</v>
      </c>
      <c r="E22" s="449">
        <f t="shared" ref="E22:E32" si="5">E4*$E$17</f>
        <v>88.326322931866258</v>
      </c>
      <c r="F22" s="449">
        <f t="shared" ref="F22:F32" si="6">F4*$F$17</f>
        <v>3167.3176683473607</v>
      </c>
      <c r="G22" s="449">
        <f t="shared" ref="G22:G32" si="7">G4*$G$17</f>
        <v>0</v>
      </c>
      <c r="H22" s="449">
        <f t="shared" ref="H22:H32" si="8">H4*$H$17</f>
        <v>0</v>
      </c>
      <c r="I22" s="449">
        <f t="shared" ref="I22:I32" si="9">I4*$I$17</f>
        <v>0</v>
      </c>
      <c r="J22" s="449">
        <f t="shared" ref="J22:J32" si="10">J4*$J$17</f>
        <v>76.196014646235383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5932.9816847075817</v>
      </c>
    </row>
    <row r="23" spans="1:17">
      <c r="A23" s="448" t="s">
        <v>155</v>
      </c>
      <c r="B23" s="449">
        <f t="shared" ca="1" si="2"/>
        <v>670.09072252721785</v>
      </c>
      <c r="C23" s="449">
        <f t="shared" ca="1" si="3"/>
        <v>0</v>
      </c>
      <c r="D23" s="449">
        <f t="shared" ca="1" si="4"/>
        <v>865.66127899081857</v>
      </c>
      <c r="E23" s="449">
        <f t="shared" si="5"/>
        <v>12.156289536519418</v>
      </c>
      <c r="F23" s="449">
        <f t="shared" ca="1" si="6"/>
        <v>203.07930644051936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1750.9875974950751</v>
      </c>
    </row>
    <row r="24" spans="1:17">
      <c r="A24" s="448" t="s">
        <v>193</v>
      </c>
      <c r="B24" s="449">
        <f t="shared" ca="1" si="2"/>
        <v>42.169781471432522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42.169781471432522</v>
      </c>
    </row>
    <row r="25" spans="1:17">
      <c r="A25" s="448" t="s">
        <v>111</v>
      </c>
      <c r="B25" s="449">
        <f t="shared" ca="1" si="2"/>
        <v>1131.8533776268414</v>
      </c>
      <c r="C25" s="449">
        <f t="shared" ca="1" si="3"/>
        <v>0</v>
      </c>
      <c r="D25" s="449">
        <f t="shared" si="4"/>
        <v>30.215381715502843</v>
      </c>
      <c r="E25" s="449">
        <f t="shared" si="5"/>
        <v>12.861161272524697</v>
      </c>
      <c r="F25" s="449">
        <f t="shared" si="6"/>
        <v>5240.1659246575227</v>
      </c>
      <c r="G25" s="449">
        <f t="shared" si="7"/>
        <v>0</v>
      </c>
      <c r="H25" s="449">
        <f t="shared" si="8"/>
        <v>0</v>
      </c>
      <c r="I25" s="449">
        <f t="shared" si="9"/>
        <v>0</v>
      </c>
      <c r="J25" s="449">
        <f t="shared" si="10"/>
        <v>263.36773761041184</v>
      </c>
      <c r="K25" s="449">
        <f t="shared" si="11"/>
        <v>0</v>
      </c>
      <c r="L25" s="449">
        <f t="shared" si="12"/>
        <v>0</v>
      </c>
      <c r="M25" s="449">
        <f t="shared" si="13"/>
        <v>0</v>
      </c>
      <c r="N25" s="449">
        <f t="shared" si="14"/>
        <v>0</v>
      </c>
      <c r="O25" s="449">
        <f t="shared" si="15"/>
        <v>0</v>
      </c>
      <c r="P25" s="450">
        <f t="shared" si="16"/>
        <v>0</v>
      </c>
      <c r="Q25" s="448">
        <f t="shared" ca="1" si="17"/>
        <v>6678.4635828828032</v>
      </c>
    </row>
    <row r="26" spans="1:17">
      <c r="A26" s="448" t="s">
        <v>671</v>
      </c>
      <c r="B26" s="449">
        <f t="shared" ca="1" si="2"/>
        <v>748.64566606036942</v>
      </c>
      <c r="C26" s="449">
        <f t="shared" ca="1" si="3"/>
        <v>0</v>
      </c>
      <c r="D26" s="449">
        <f t="shared" si="4"/>
        <v>40.023279222384652</v>
      </c>
      <c r="E26" s="449">
        <f t="shared" si="5"/>
        <v>7.8237479367893075</v>
      </c>
      <c r="F26" s="449">
        <f t="shared" si="6"/>
        <v>262.81911379069413</v>
      </c>
      <c r="G26" s="449">
        <f t="shared" si="7"/>
        <v>0</v>
      </c>
      <c r="H26" s="449">
        <f t="shared" si="8"/>
        <v>0</v>
      </c>
      <c r="I26" s="449">
        <f t="shared" si="9"/>
        <v>0</v>
      </c>
      <c r="J26" s="449">
        <f t="shared" si="10"/>
        <v>9.9131555019477933</v>
      </c>
      <c r="K26" s="449">
        <f t="shared" si="11"/>
        <v>0</v>
      </c>
      <c r="L26" s="449">
        <f t="shared" si="12"/>
        <v>0</v>
      </c>
      <c r="M26" s="449">
        <f t="shared" si="13"/>
        <v>0</v>
      </c>
      <c r="N26" s="449">
        <f t="shared" si="14"/>
        <v>0</v>
      </c>
      <c r="O26" s="449">
        <f t="shared" si="15"/>
        <v>0</v>
      </c>
      <c r="P26" s="450">
        <f t="shared" si="16"/>
        <v>0</v>
      </c>
      <c r="Q26" s="448">
        <f t="shared" ca="1" si="17"/>
        <v>1069.2249625121854</v>
      </c>
    </row>
    <row r="27" spans="1:17" s="454" customFormat="1">
      <c r="A27" s="452" t="s">
        <v>568</v>
      </c>
      <c r="B27" s="760">
        <f t="shared" ca="1" si="2"/>
        <v>0.21322701228449276</v>
      </c>
      <c r="C27" s="453">
        <f t="shared" ca="1" si="3"/>
        <v>0</v>
      </c>
      <c r="D27" s="453">
        <f t="shared" si="4"/>
        <v>0.35306915006828776</v>
      </c>
      <c r="E27" s="453">
        <f t="shared" si="5"/>
        <v>24.816370637804436</v>
      </c>
      <c r="F27" s="453">
        <f t="shared" si="6"/>
        <v>0</v>
      </c>
      <c r="G27" s="453">
        <f t="shared" si="7"/>
        <v>5825.4649070338282</v>
      </c>
      <c r="H27" s="453">
        <f t="shared" si="8"/>
        <v>1027.7715846278904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6878.6191584618764</v>
      </c>
    </row>
    <row r="28" spans="1:17">
      <c r="A28" s="448" t="s">
        <v>558</v>
      </c>
      <c r="B28" s="449">
        <f t="shared" ca="1" si="2"/>
        <v>0.22055063954366821</v>
      </c>
      <c r="C28" s="449">
        <f t="shared" ca="1" si="3"/>
        <v>0</v>
      </c>
      <c r="D28" s="449">
        <f t="shared" si="4"/>
        <v>0</v>
      </c>
      <c r="E28" s="449">
        <f t="shared" si="5"/>
        <v>0</v>
      </c>
      <c r="F28" s="449">
        <f t="shared" si="6"/>
        <v>0</v>
      </c>
      <c r="G28" s="449">
        <f t="shared" si="7"/>
        <v>62.408002193959852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62.62855283350352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56.848824725670291</v>
      </c>
      <c r="C32" s="449">
        <f t="shared" ca="1" si="3"/>
        <v>0</v>
      </c>
      <c r="D32" s="449">
        <f t="shared" si="4"/>
        <v>70.654042342958462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127.50286706862875</v>
      </c>
    </row>
    <row r="33" spans="1:17" s="461" customFormat="1">
      <c r="A33" s="458" t="s">
        <v>562</v>
      </c>
      <c r="B33" s="459">
        <f ca="1">SUM(B22:B32)</f>
        <v>3734.1629535848233</v>
      </c>
      <c r="C33" s="459">
        <f t="shared" ref="C33:Q33" ca="1" si="18">SUM(C22:C32)</f>
        <v>0</v>
      </c>
      <c r="D33" s="459">
        <f t="shared" ca="1" si="18"/>
        <v>2523.9279266823874</v>
      </c>
      <c r="E33" s="459">
        <f t="shared" si="18"/>
        <v>145.98389231550411</v>
      </c>
      <c r="F33" s="459">
        <f t="shared" ca="1" si="18"/>
        <v>8873.3820132360961</v>
      </c>
      <c r="G33" s="459">
        <f t="shared" si="18"/>
        <v>5887.8729092277881</v>
      </c>
      <c r="H33" s="459">
        <f t="shared" si="18"/>
        <v>1027.7715846278904</v>
      </c>
      <c r="I33" s="459">
        <f t="shared" si="18"/>
        <v>0</v>
      </c>
      <c r="J33" s="459">
        <f t="shared" si="18"/>
        <v>349.47690775859502</v>
      </c>
      <c r="K33" s="459">
        <f t="shared" si="18"/>
        <v>0</v>
      </c>
      <c r="L33" s="459">
        <f t="shared" ca="1" si="18"/>
        <v>0</v>
      </c>
      <c r="M33" s="459">
        <f t="shared" si="18"/>
        <v>0</v>
      </c>
      <c r="N33" s="459">
        <f t="shared" ca="1" si="18"/>
        <v>0</v>
      </c>
      <c r="O33" s="459">
        <f t="shared" si="18"/>
        <v>0</v>
      </c>
      <c r="P33" s="459">
        <f t="shared" si="18"/>
        <v>0</v>
      </c>
      <c r="Q33" s="459">
        <f t="shared" ca="1" si="18"/>
        <v>22542.57818743309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2944.8866038361257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2944.8866038361257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0.18819914076597727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0.18819914076597727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0.18819914076597727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0.18819914076597727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1229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5542</v>
      </c>
      <c r="C14" s="327"/>
      <c r="D14" s="327"/>
      <c r="E14" s="327"/>
      <c r="F14" s="327"/>
    </row>
    <row r="15" spans="1:6">
      <c r="A15" s="1295" t="s">
        <v>183</v>
      </c>
      <c r="B15" s="1296">
        <v>81</v>
      </c>
      <c r="C15" s="327"/>
      <c r="D15" s="327"/>
      <c r="E15" s="327"/>
      <c r="F15" s="327"/>
    </row>
    <row r="16" spans="1:6">
      <c r="A16" s="1295" t="s">
        <v>6</v>
      </c>
      <c r="B16" s="1296">
        <v>2798</v>
      </c>
      <c r="C16" s="327"/>
      <c r="D16" s="327"/>
      <c r="E16" s="327"/>
      <c r="F16" s="327"/>
    </row>
    <row r="17" spans="1:6">
      <c r="A17" s="1295" t="s">
        <v>7</v>
      </c>
      <c r="B17" s="1296">
        <v>1881</v>
      </c>
      <c r="C17" s="327"/>
      <c r="D17" s="327"/>
      <c r="E17" s="327"/>
      <c r="F17" s="327"/>
    </row>
    <row r="18" spans="1:6">
      <c r="A18" s="1295" t="s">
        <v>8</v>
      </c>
      <c r="B18" s="1296">
        <v>2983</v>
      </c>
      <c r="C18" s="327"/>
      <c r="D18" s="327"/>
      <c r="E18" s="327"/>
      <c r="F18" s="327"/>
    </row>
    <row r="19" spans="1:6">
      <c r="A19" s="1295" t="s">
        <v>9</v>
      </c>
      <c r="B19" s="1296">
        <v>2609</v>
      </c>
      <c r="C19" s="327"/>
      <c r="D19" s="327"/>
      <c r="E19" s="327"/>
      <c r="F19" s="327"/>
    </row>
    <row r="20" spans="1:6">
      <c r="A20" s="1295" t="s">
        <v>10</v>
      </c>
      <c r="B20" s="1296">
        <v>1603</v>
      </c>
      <c r="C20" s="327"/>
      <c r="D20" s="327"/>
      <c r="E20" s="327"/>
      <c r="F20" s="327"/>
    </row>
    <row r="21" spans="1:6">
      <c r="A21" s="1295" t="s">
        <v>11</v>
      </c>
      <c r="B21" s="1296">
        <v>35434</v>
      </c>
      <c r="C21" s="327"/>
      <c r="D21" s="327"/>
      <c r="E21" s="327"/>
      <c r="F21" s="327"/>
    </row>
    <row r="22" spans="1:6">
      <c r="A22" s="1295" t="s">
        <v>12</v>
      </c>
      <c r="B22" s="1296">
        <v>53721</v>
      </c>
      <c r="C22" s="327"/>
      <c r="D22" s="327"/>
      <c r="E22" s="327"/>
      <c r="F22" s="327"/>
    </row>
    <row r="23" spans="1:6">
      <c r="A23" s="1295" t="s">
        <v>13</v>
      </c>
      <c r="B23" s="1296">
        <v>1558</v>
      </c>
      <c r="C23" s="327"/>
      <c r="D23" s="327"/>
      <c r="E23" s="327"/>
      <c r="F23" s="327"/>
    </row>
    <row r="24" spans="1:6">
      <c r="A24" s="1295" t="s">
        <v>14</v>
      </c>
      <c r="B24" s="1296">
        <v>73</v>
      </c>
      <c r="C24" s="327"/>
      <c r="D24" s="327"/>
      <c r="E24" s="327"/>
      <c r="F24" s="327"/>
    </row>
    <row r="25" spans="1:6">
      <c r="A25" s="1295" t="s">
        <v>15</v>
      </c>
      <c r="B25" s="1296">
        <v>9549</v>
      </c>
      <c r="C25" s="327"/>
      <c r="D25" s="327"/>
      <c r="E25" s="327"/>
      <c r="F25" s="327"/>
    </row>
    <row r="26" spans="1:6">
      <c r="A26" s="1295" t="s">
        <v>16</v>
      </c>
      <c r="B26" s="1296">
        <v>1668</v>
      </c>
      <c r="C26" s="327"/>
      <c r="D26" s="327"/>
      <c r="E26" s="327"/>
      <c r="F26" s="327"/>
    </row>
    <row r="27" spans="1:6">
      <c r="A27" s="1295" t="s">
        <v>17</v>
      </c>
      <c r="B27" s="1296">
        <v>702</v>
      </c>
      <c r="C27" s="327"/>
      <c r="D27" s="327"/>
      <c r="E27" s="327"/>
      <c r="F27" s="327"/>
    </row>
    <row r="28" spans="1:6" s="44" customFormat="1">
      <c r="A28" s="1297" t="s">
        <v>18</v>
      </c>
      <c r="B28" s="1298">
        <v>293704</v>
      </c>
      <c r="C28" s="333"/>
      <c r="D28" s="333"/>
      <c r="E28" s="333"/>
      <c r="F28" s="333"/>
    </row>
    <row r="29" spans="1:6">
      <c r="A29" s="1297" t="s">
        <v>961</v>
      </c>
      <c r="B29" s="1298">
        <v>76</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502</v>
      </c>
      <c r="D39" s="1296">
        <v>8325947.15407266</v>
      </c>
      <c r="E39" s="1296">
        <v>1046</v>
      </c>
      <c r="F39" s="1296">
        <v>4588263.76232077</v>
      </c>
    </row>
    <row r="40" spans="1:6">
      <c r="A40" s="1295" t="s">
        <v>29</v>
      </c>
      <c r="B40" s="1295" t="s">
        <v>28</v>
      </c>
      <c r="C40" s="1296">
        <v>0</v>
      </c>
      <c r="D40" s="1296">
        <v>0</v>
      </c>
      <c r="E40" s="1296">
        <v>0</v>
      </c>
      <c r="F40" s="1296">
        <v>0</v>
      </c>
    </row>
    <row r="41" spans="1:6">
      <c r="A41" s="1295" t="s">
        <v>31</v>
      </c>
      <c r="B41" s="1295" t="s">
        <v>32</v>
      </c>
      <c r="C41" s="1296">
        <v>3</v>
      </c>
      <c r="D41" s="1296">
        <v>122162.888078353</v>
      </c>
      <c r="E41" s="1296">
        <v>16</v>
      </c>
      <c r="F41" s="1296">
        <v>432590.062712327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10</v>
      </c>
      <c r="F44" s="1296">
        <v>891272.86901511298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7</v>
      </c>
      <c r="D48" s="1296">
        <v>97499.025065072201</v>
      </c>
      <c r="E48" s="1296">
        <v>15</v>
      </c>
      <c r="F48" s="1296">
        <v>2654081.19178638</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8</v>
      </c>
      <c r="D51" s="1296">
        <v>147628.877039135</v>
      </c>
      <c r="E51" s="1296">
        <v>164</v>
      </c>
      <c r="F51" s="1296">
        <v>5849013.8952112803</v>
      </c>
    </row>
    <row r="52" spans="1:6">
      <c r="A52" s="1295" t="s">
        <v>41</v>
      </c>
      <c r="B52" s="1295" t="s">
        <v>28</v>
      </c>
      <c r="C52" s="1296">
        <v>2</v>
      </c>
      <c r="D52" s="1296">
        <v>18203.825401551501</v>
      </c>
      <c r="E52" s="1296">
        <v>5</v>
      </c>
      <c r="F52" s="1296">
        <v>165112.27465409401</v>
      </c>
    </row>
    <row r="53" spans="1:6">
      <c r="A53" s="1295" t="s">
        <v>43</v>
      </c>
      <c r="B53" s="1295" t="s">
        <v>44</v>
      </c>
      <c r="C53" s="1296">
        <v>18</v>
      </c>
      <c r="D53" s="1296">
        <v>349772.486846329</v>
      </c>
      <c r="E53" s="1296">
        <v>51</v>
      </c>
      <c r="F53" s="1296">
        <v>302067.39783345198</v>
      </c>
    </row>
    <row r="54" spans="1:6">
      <c r="A54" s="1295" t="s">
        <v>45</v>
      </c>
      <c r="B54" s="1295" t="s">
        <v>46</v>
      </c>
      <c r="C54" s="1296">
        <v>0</v>
      </c>
      <c r="D54" s="1296">
        <v>0</v>
      </c>
      <c r="E54" s="1296">
        <v>1</v>
      </c>
      <c r="F54" s="1296">
        <v>224070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452886.28044445999</v>
      </c>
      <c r="E57" s="1296">
        <v>41</v>
      </c>
      <c r="F57" s="1296">
        <v>490075.12003864301</v>
      </c>
    </row>
    <row r="58" spans="1:6">
      <c r="A58" s="1295" t="s">
        <v>48</v>
      </c>
      <c r="B58" s="1295" t="s">
        <v>50</v>
      </c>
      <c r="C58" s="1296">
        <v>0</v>
      </c>
      <c r="D58" s="1296">
        <v>0</v>
      </c>
      <c r="E58" s="1296">
        <v>4</v>
      </c>
      <c r="F58" s="1296">
        <v>41471.695688883199</v>
      </c>
    </row>
    <row r="59" spans="1:6">
      <c r="A59" s="1295" t="s">
        <v>48</v>
      </c>
      <c r="B59" s="1295" t="s">
        <v>51</v>
      </c>
      <c r="C59" s="1296">
        <v>0</v>
      </c>
      <c r="D59" s="1296">
        <v>0</v>
      </c>
      <c r="E59" s="1296">
        <v>27</v>
      </c>
      <c r="F59" s="1296">
        <v>658454.85028544499</v>
      </c>
    </row>
    <row r="60" spans="1:6">
      <c r="A60" s="1295" t="s">
        <v>48</v>
      </c>
      <c r="B60" s="1295" t="s">
        <v>52</v>
      </c>
      <c r="C60" s="1296">
        <v>6</v>
      </c>
      <c r="D60" s="1296">
        <v>671713.23537079699</v>
      </c>
      <c r="E60" s="1296">
        <v>16</v>
      </c>
      <c r="F60" s="1296">
        <v>652152.99556081998</v>
      </c>
    </row>
    <row r="61" spans="1:6">
      <c r="A61" s="1295" t="s">
        <v>48</v>
      </c>
      <c r="B61" s="1295" t="s">
        <v>53</v>
      </c>
      <c r="C61" s="1296">
        <v>0</v>
      </c>
      <c r="D61" s="1296">
        <v>0</v>
      </c>
      <c r="E61" s="1296">
        <v>31</v>
      </c>
      <c r="F61" s="1296">
        <v>352569.95636975899</v>
      </c>
    </row>
    <row r="62" spans="1:6">
      <c r="A62" s="1295" t="s">
        <v>48</v>
      </c>
      <c r="B62" s="1295" t="s">
        <v>54</v>
      </c>
      <c r="C62" s="1296">
        <v>3</v>
      </c>
      <c r="D62" s="1296">
        <v>287004.30550230399</v>
      </c>
      <c r="E62" s="1296">
        <v>4</v>
      </c>
      <c r="F62" s="1296">
        <v>33163.658637931898</v>
      </c>
    </row>
    <row r="63" spans="1:6">
      <c r="A63" s="1295" t="s">
        <v>48</v>
      </c>
      <c r="B63" s="1295" t="s">
        <v>28</v>
      </c>
      <c r="C63" s="1296">
        <v>44</v>
      </c>
      <c r="D63" s="1296">
        <v>3339451.4737957101</v>
      </c>
      <c r="E63" s="1296">
        <v>60</v>
      </c>
      <c r="F63" s="1296">
        <v>1332652.54097977</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32024.866011929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12166279</v>
      </c>
      <c r="E73" s="447"/>
      <c r="F73" s="327"/>
    </row>
    <row r="74" spans="1:6">
      <c r="A74" s="1295" t="s">
        <v>63</v>
      </c>
      <c r="B74" s="1295" t="s">
        <v>755</v>
      </c>
      <c r="C74" s="1309" t="s">
        <v>749</v>
      </c>
      <c r="D74" s="1310">
        <v>1264333.2425533819</v>
      </c>
      <c r="E74" s="447"/>
      <c r="F74" s="327"/>
    </row>
    <row r="75" spans="1:6">
      <c r="A75" s="1295" t="s">
        <v>64</v>
      </c>
      <c r="B75" s="1295" t="s">
        <v>754</v>
      </c>
      <c r="C75" s="1309" t="s">
        <v>750</v>
      </c>
      <c r="D75" s="1310">
        <v>15430741</v>
      </c>
      <c r="E75" s="447"/>
      <c r="F75" s="327"/>
    </row>
    <row r="76" spans="1:6">
      <c r="A76" s="1295" t="s">
        <v>64</v>
      </c>
      <c r="B76" s="1295" t="s">
        <v>755</v>
      </c>
      <c r="C76" s="1309" t="s">
        <v>751</v>
      </c>
      <c r="D76" s="1310">
        <v>589322.24255338195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64563.514893235988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1172.2343946264571</v>
      </c>
      <c r="C91" s="327"/>
      <c r="D91" s="327"/>
      <c r="E91" s="327"/>
      <c r="F91" s="327"/>
    </row>
    <row r="92" spans="1:6">
      <c r="A92" s="1290" t="s">
        <v>68</v>
      </c>
      <c r="B92" s="1291">
        <v>1772.6522092096686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332</v>
      </c>
      <c r="C97" s="327"/>
      <c r="D97" s="327"/>
      <c r="E97" s="327"/>
      <c r="F97" s="327"/>
    </row>
    <row r="98" spans="1:6">
      <c r="A98" s="1295" t="s">
        <v>71</v>
      </c>
      <c r="B98" s="1296">
        <v>0</v>
      </c>
      <c r="C98" s="327"/>
      <c r="D98" s="327"/>
      <c r="E98" s="327"/>
      <c r="F98" s="327"/>
    </row>
    <row r="99" spans="1:6">
      <c r="A99" s="1295" t="s">
        <v>72</v>
      </c>
      <c r="B99" s="1296">
        <v>88</v>
      </c>
      <c r="C99" s="327"/>
      <c r="D99" s="327"/>
      <c r="E99" s="327"/>
      <c r="F99" s="327"/>
    </row>
    <row r="100" spans="1:6">
      <c r="A100" s="1295" t="s">
        <v>73</v>
      </c>
      <c r="B100" s="1296">
        <v>82</v>
      </c>
      <c r="C100" s="327"/>
      <c r="D100" s="327"/>
      <c r="E100" s="327"/>
      <c r="F100" s="327"/>
    </row>
    <row r="101" spans="1:6">
      <c r="A101" s="1295" t="s">
        <v>74</v>
      </c>
      <c r="B101" s="1296">
        <v>55</v>
      </c>
      <c r="C101" s="327"/>
      <c r="D101" s="327"/>
      <c r="E101" s="327"/>
      <c r="F101" s="327"/>
    </row>
    <row r="102" spans="1:6">
      <c r="A102" s="1295" t="s">
        <v>75</v>
      </c>
      <c r="B102" s="1296">
        <v>21</v>
      </c>
      <c r="C102" s="327"/>
      <c r="D102" s="327"/>
      <c r="E102" s="327"/>
      <c r="F102" s="327"/>
    </row>
    <row r="103" spans="1:6">
      <c r="A103" s="1295" t="s">
        <v>76</v>
      </c>
      <c r="B103" s="1296">
        <v>98</v>
      </c>
      <c r="C103" s="327"/>
      <c r="D103" s="327"/>
      <c r="E103" s="327"/>
      <c r="F103" s="327"/>
    </row>
    <row r="104" spans="1:6">
      <c r="A104" s="1295" t="s">
        <v>77</v>
      </c>
      <c r="B104" s="1296">
        <v>491</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19841.551552183744</v>
      </c>
      <c r="C3" s="44" t="s">
        <v>169</v>
      </c>
      <c r="D3" s="44"/>
      <c r="E3" s="157"/>
      <c r="F3" s="44"/>
      <c r="G3" s="44"/>
      <c r="H3" s="44"/>
      <c r="I3" s="44"/>
      <c r="J3" s="44"/>
      <c r="K3" s="97"/>
    </row>
    <row r="4" spans="1:11">
      <c r="A4" s="354" t="s">
        <v>170</v>
      </c>
      <c r="B4" s="50">
        <f>IF(ISERROR('SEAP template'!B78+'SEAP template'!C78),0,'SEAP template'!B78+'SEAP template'!C78)</f>
        <v>2944.8866038361257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0.18819914076597727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224.07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224.07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0.18819914076597727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42.169781471432522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4588.2637623207702</v>
      </c>
      <c r="C5" s="18">
        <f>IF(ISERROR('Eigen informatie GS &amp; warmtenet'!B57),0,'Eigen informatie GS &amp; warmtenet'!B57)</f>
        <v>0</v>
      </c>
      <c r="D5" s="31">
        <f>(SUM(HH_hh_gas_kWh,HH_rest_gas_kWh)/1000)*0.902</f>
        <v>7510.0043329735399</v>
      </c>
      <c r="E5" s="18">
        <f>B32*B41</f>
        <v>389.10274419324344</v>
      </c>
      <c r="F5" s="18">
        <f>B36*B45</f>
        <v>11862.612990065021</v>
      </c>
      <c r="G5" s="19"/>
      <c r="H5" s="18"/>
      <c r="I5" s="18"/>
      <c r="J5" s="18">
        <f>B35*B44+C35*C44</f>
        <v>215.24297922665363</v>
      </c>
      <c r="K5" s="18"/>
      <c r="L5" s="18"/>
      <c r="M5" s="18"/>
      <c r="N5" s="18">
        <f>B34*B43+C34*C43</f>
        <v>1872.6103807482882</v>
      </c>
      <c r="O5" s="18">
        <f>B52*B53*B54</f>
        <v>50.026666666666671</v>
      </c>
      <c r="P5" s="18">
        <f>B60*B61*B62/1000-B60*B61*B62/1000/B63</f>
        <v>76.266666666666666</v>
      </c>
    </row>
    <row r="6" spans="1:16">
      <c r="A6" s="17" t="s">
        <v>628</v>
      </c>
      <c r="B6" s="768">
        <f>kWh_PV_kleiner_dan_10kW</f>
        <v>1172.2343946264571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5760.4981569472275</v>
      </c>
      <c r="C8" s="22">
        <f>C5</f>
        <v>0</v>
      </c>
      <c r="D8" s="22">
        <f>D5</f>
        <v>7510.0043329735399</v>
      </c>
      <c r="E8" s="22">
        <f>E5</f>
        <v>389.10274419324344</v>
      </c>
      <c r="F8" s="22">
        <f>F5</f>
        <v>11862.612990065021</v>
      </c>
      <c r="G8" s="22"/>
      <c r="H8" s="22"/>
      <c r="I8" s="22"/>
      <c r="J8" s="22">
        <f>J5</f>
        <v>215.24297922665363</v>
      </c>
      <c r="K8" s="22"/>
      <c r="L8" s="22">
        <f>L5</f>
        <v>0</v>
      </c>
      <c r="M8" s="22">
        <f>M5</f>
        <v>0</v>
      </c>
      <c r="N8" s="22">
        <f>N5</f>
        <v>1872.6103807482882</v>
      </c>
      <c r="O8" s="22">
        <f>O5</f>
        <v>50.026666666666671</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0.18819914076597727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1084.1208035214638</v>
      </c>
      <c r="C12" s="24">
        <f ca="1">C10*C8</f>
        <v>0</v>
      </c>
      <c r="D12" s="24">
        <f>D8*D10</f>
        <v>1517.0208752606552</v>
      </c>
      <c r="E12" s="24">
        <f>E10*E8</f>
        <v>88.326322931866258</v>
      </c>
      <c r="F12" s="24">
        <f>F10*F8</f>
        <v>3167.3176683473607</v>
      </c>
      <c r="G12" s="24"/>
      <c r="H12" s="24"/>
      <c r="I12" s="24"/>
      <c r="J12" s="24">
        <f>J10*J8</f>
        <v>76.196014646235383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1229</v>
      </c>
      <c r="C26" s="37"/>
      <c r="D26" s="228"/>
    </row>
    <row r="27" spans="1:5" s="16" customFormat="1">
      <c r="A27" s="230" t="s">
        <v>654</v>
      </c>
      <c r="B27" s="38">
        <f>SUM(HH_hh_gas_aantal,HH_rest_gas_aantal)</f>
        <v>502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476.9</v>
      </c>
      <c r="C31" s="35" t="s">
        <v>110</v>
      </c>
      <c r="D31" s="174"/>
    </row>
    <row r="32" spans="1:5">
      <c r="A32" s="171" t="s">
        <v>72</v>
      </c>
      <c r="B32" s="34">
        <f>IF((B21*($B$26-($B$27-0.05*$B$27)-$B$60))&lt;0,0,B21*($B$26-($B$27-0.05*$B$27)-$B$60))</f>
        <v>18.384804798196662</v>
      </c>
      <c r="C32" s="35" t="s">
        <v>110</v>
      </c>
      <c r="D32" s="174"/>
    </row>
    <row r="33" spans="1:6">
      <c r="A33" s="171" t="s">
        <v>73</v>
      </c>
      <c r="B33" s="34">
        <f>IF((B22*($B$26-($B$27-0.05*$B$27)-$B$60))&lt;0,0,B22*($B$26-($B$27-0.05*$B$27)-$B$60))</f>
        <v>123.75129871724415</v>
      </c>
      <c r="C33" s="35" t="s">
        <v>110</v>
      </c>
      <c r="D33" s="174"/>
    </row>
    <row r="34" spans="1:6">
      <c r="A34" s="171" t="s">
        <v>74</v>
      </c>
      <c r="B34" s="34">
        <f>IF((B24*($B$26-($B$27-0.05*$B$27)-$B$60))&lt;0,0,B24*($B$26-($B$27-0.05*$B$27)-$B$60))</f>
        <v>31.38593779571822</v>
      </c>
      <c r="C34" s="34">
        <f>B26*C24</f>
        <v>251.33336070528981</v>
      </c>
      <c r="D34" s="233"/>
    </row>
    <row r="35" spans="1:6">
      <c r="A35" s="171" t="s">
        <v>76</v>
      </c>
      <c r="B35" s="34">
        <f>IF((B19*($B$26-($B$27-0.05*$B$27)-$B$60))&lt;0,0,B19*($B$26-($B$27-0.05*$B$27)-$B$60))</f>
        <v>11.668298436221733</v>
      </c>
      <c r="C35" s="34">
        <f>B35/2</f>
        <v>5.8341492181108663</v>
      </c>
      <c r="D35" s="233"/>
    </row>
    <row r="36" spans="1:6">
      <c r="A36" s="171" t="s">
        <v>77</v>
      </c>
      <c r="B36" s="34">
        <f>IF((B18*($B$26-($B$27-0.05*$B$27)-$B$60))&lt;0,0,B18*($B$26-($B$27-0.05*$B$27)-$B$60))</f>
        <v>562.90966025261901</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3560.540817561252</v>
      </c>
      <c r="C5" s="18">
        <f>IF(ISERROR('Eigen informatie GS &amp; warmtenet'!B58),0,'Eigen informatie GS &amp; warmtenet'!B58)</f>
        <v>0</v>
      </c>
      <c r="D5" s="31">
        <f>SUM(D6:D12)</f>
        <v>4285.4518761921709</v>
      </c>
      <c r="E5" s="18">
        <f>SUM(E6:E12)</f>
        <v>53.551936284226514</v>
      </c>
      <c r="F5" s="18">
        <f>SUM(F6:F12)</f>
        <v>760.59665333527846</v>
      </c>
      <c r="G5" s="19"/>
      <c r="H5" s="18"/>
      <c r="I5" s="18"/>
      <c r="J5" s="18">
        <f>SUM(J6:J12)</f>
        <v>0</v>
      </c>
      <c r="K5" s="18"/>
      <c r="L5" s="18"/>
      <c r="M5" s="18"/>
      <c r="N5" s="18">
        <f>SUM(N6:N12)</f>
        <v>374.24094046401387</v>
      </c>
      <c r="O5" s="18">
        <f>B38*B39*B40</f>
        <v>0</v>
      </c>
      <c r="P5" s="18">
        <f>B46*B47*B48/1000-B46*B47*B48/1000/B49</f>
        <v>38.133333333333333</v>
      </c>
      <c r="R5" s="33"/>
    </row>
    <row r="6" spans="1:18">
      <c r="A6" s="33" t="s">
        <v>53</v>
      </c>
      <c r="B6" s="38">
        <f>B26</f>
        <v>352.56995636975898</v>
      </c>
      <c r="C6" s="34"/>
      <c r="D6" s="38">
        <f>IF(ISERROR(TER_kantoor_gas_kWh/1000),0,TER_kantoor_gas_kWh/1000)*0.902</f>
        <v>0</v>
      </c>
      <c r="E6" s="34">
        <f>$C$26*'E Balans VL '!I12/100/3.6*1000000</f>
        <v>0.57863875581800628</v>
      </c>
      <c r="F6" s="34">
        <f>$C$26*('E Balans VL '!L12+'E Balans VL '!N12)/100/3.6*1000000</f>
        <v>41.55970233540566</v>
      </c>
      <c r="G6" s="35"/>
      <c r="H6" s="34"/>
      <c r="I6" s="34"/>
      <c r="J6" s="34">
        <f>$C$26*('E Balans VL '!D12+'E Balans VL '!E12)/100/3.6*1000000</f>
        <v>0</v>
      </c>
      <c r="K6" s="34"/>
      <c r="L6" s="34"/>
      <c r="M6" s="34"/>
      <c r="N6" s="34">
        <f>$C$26*'E Balans VL '!Y12/100/3.6*1000000</f>
        <v>7.123509012908423E-2</v>
      </c>
      <c r="O6" s="34"/>
      <c r="P6" s="34"/>
      <c r="R6" s="33"/>
    </row>
    <row r="7" spans="1:18">
      <c r="A7" s="33" t="s">
        <v>52</v>
      </c>
      <c r="B7" s="38">
        <f t="shared" ref="B7:B12" si="0">B27</f>
        <v>652.15299556081993</v>
      </c>
      <c r="C7" s="34"/>
      <c r="D7" s="38">
        <f>IF(ISERROR(TER_horeca_gas_kWh/1000),0,TER_horeca_gas_kWh/1000)*0.902</f>
        <v>605.88533830445886</v>
      </c>
      <c r="E7" s="34">
        <f>$C$27*'E Balans VL '!I9/100/3.6*1000000</f>
        <v>33.842021389546126</v>
      </c>
      <c r="F7" s="34">
        <f>$C$27*('E Balans VL '!L9+'E Balans VL '!N9)/100/3.6*1000000</f>
        <v>148.82178679153796</v>
      </c>
      <c r="G7" s="35"/>
      <c r="H7" s="34"/>
      <c r="I7" s="34"/>
      <c r="J7" s="34">
        <f>$C$27*('E Balans VL '!D9+'E Balans VL '!E9)/100/3.6*1000000</f>
        <v>0</v>
      </c>
      <c r="K7" s="34"/>
      <c r="L7" s="34"/>
      <c r="M7" s="34"/>
      <c r="N7" s="34">
        <f>$C$27*'E Balans VL '!Y9/100/3.6*1000000</f>
        <v>6.8867057469073789E-2</v>
      </c>
      <c r="O7" s="34"/>
      <c r="P7" s="34"/>
      <c r="R7" s="33"/>
    </row>
    <row r="8" spans="1:18">
      <c r="A8" s="6" t="s">
        <v>51</v>
      </c>
      <c r="B8" s="38">
        <f t="shared" si="0"/>
        <v>658.45485028544499</v>
      </c>
      <c r="C8" s="34"/>
      <c r="D8" s="38">
        <f>IF(ISERROR(TER_handel_gas_kWh/1000),0,TER_handel_gas_kWh/1000)*0.902</f>
        <v>0</v>
      </c>
      <c r="E8" s="34">
        <f>$C$28*'E Balans VL '!I13/100/3.6*1000000</f>
        <v>3.5458602821339689</v>
      </c>
      <c r="F8" s="34">
        <f>$C$28*('E Balans VL '!L13+'E Balans VL '!N13)/100/3.6*1000000</f>
        <v>134.27851148896997</v>
      </c>
      <c r="G8" s="35"/>
      <c r="H8" s="34"/>
      <c r="I8" s="34"/>
      <c r="J8" s="34">
        <f>$C$28*('E Balans VL '!D13+'E Balans VL '!E13)/100/3.6*1000000</f>
        <v>0</v>
      </c>
      <c r="K8" s="34"/>
      <c r="L8" s="34"/>
      <c r="M8" s="34"/>
      <c r="N8" s="34">
        <f>$C$28*'E Balans VL '!Y13/100/3.6*1000000</f>
        <v>3.2741482504254642</v>
      </c>
      <c r="O8" s="34"/>
      <c r="P8" s="34"/>
      <c r="R8" s="33"/>
    </row>
    <row r="9" spans="1:18">
      <c r="A9" s="33" t="s">
        <v>50</v>
      </c>
      <c r="B9" s="38">
        <f t="shared" si="0"/>
        <v>41.471695688883202</v>
      </c>
      <c r="C9" s="34"/>
      <c r="D9" s="38">
        <f>IF(ISERROR(TER_gezond_gas_kWh/1000),0,TER_gezond_gas_kWh/1000)*0.902</f>
        <v>0</v>
      </c>
      <c r="E9" s="34">
        <f>$C$29*'E Balans VL '!I10/100/3.6*1000000</f>
        <v>4.1098922041854793E-2</v>
      </c>
      <c r="F9" s="34">
        <f>$C$29*('E Balans VL '!L10+'E Balans VL '!N10)/100/3.6*1000000</f>
        <v>14.389483028274062</v>
      </c>
      <c r="G9" s="35"/>
      <c r="H9" s="34"/>
      <c r="I9" s="34"/>
      <c r="J9" s="34">
        <f>$C$29*('E Balans VL '!D10+'E Balans VL '!E10)/100/3.6*1000000</f>
        <v>0</v>
      </c>
      <c r="K9" s="34"/>
      <c r="L9" s="34"/>
      <c r="M9" s="34"/>
      <c r="N9" s="34">
        <f>$C$29*'E Balans VL '!Y10/100/3.6*1000000</f>
        <v>0.35735800907533338</v>
      </c>
      <c r="O9" s="34"/>
      <c r="P9" s="34"/>
      <c r="R9" s="33"/>
    </row>
    <row r="10" spans="1:18">
      <c r="A10" s="33" t="s">
        <v>49</v>
      </c>
      <c r="B10" s="38">
        <f t="shared" si="0"/>
        <v>490.07512003864304</v>
      </c>
      <c r="C10" s="34"/>
      <c r="D10" s="38">
        <f>IF(ISERROR(TER_ander_gas_kWh/1000),0,TER_ander_gas_kWh/1000)*0.902</f>
        <v>408.50342496090292</v>
      </c>
      <c r="E10" s="34">
        <f>$C$30*'E Balans VL '!I14/100/3.6*1000000</f>
        <v>4.0093042771164242</v>
      </c>
      <c r="F10" s="34">
        <f>$C$30*('E Balans VL '!L14+'E Balans VL '!N14)/100/3.6*1000000</f>
        <v>143.27801331482937</v>
      </c>
      <c r="G10" s="35"/>
      <c r="H10" s="34"/>
      <c r="I10" s="34"/>
      <c r="J10" s="34">
        <f>$C$30*('E Balans VL '!D14+'E Balans VL '!E14)/100/3.6*1000000</f>
        <v>0</v>
      </c>
      <c r="K10" s="34"/>
      <c r="L10" s="34"/>
      <c r="M10" s="34"/>
      <c r="N10" s="34">
        <f>$C$30*'E Balans VL '!Y14/100/3.6*1000000</f>
        <v>282.70904097327821</v>
      </c>
      <c r="O10" s="34"/>
      <c r="P10" s="34"/>
      <c r="R10" s="33"/>
    </row>
    <row r="11" spans="1:18">
      <c r="A11" s="33" t="s">
        <v>54</v>
      </c>
      <c r="B11" s="38">
        <f t="shared" si="0"/>
        <v>33.163658637931896</v>
      </c>
      <c r="C11" s="34"/>
      <c r="D11" s="38">
        <f>IF(ISERROR(TER_onderwijs_gas_kWh/1000),0,TER_onderwijs_gas_kWh/1000)*0.902</f>
        <v>258.87788356307817</v>
      </c>
      <c r="E11" s="34">
        <f>$C$31*'E Balans VL '!I11/100/3.6*1000000</f>
        <v>2.0440679870736882E-2</v>
      </c>
      <c r="F11" s="34">
        <f>$C$31*('E Balans VL '!L11+'E Balans VL '!N11)/100/3.6*1000000</f>
        <v>12.82160750390938</v>
      </c>
      <c r="G11" s="35"/>
      <c r="H11" s="34"/>
      <c r="I11" s="34"/>
      <c r="J11" s="34">
        <f>$C$31*('E Balans VL '!D11+'E Balans VL '!E11)/100/3.6*1000000</f>
        <v>0</v>
      </c>
      <c r="K11" s="34"/>
      <c r="L11" s="34"/>
      <c r="M11" s="34"/>
      <c r="N11" s="34">
        <f>$C$31*'E Balans VL '!Y11/100/3.6*1000000</f>
        <v>0.10787427472888721</v>
      </c>
      <c r="O11" s="34"/>
      <c r="P11" s="34"/>
      <c r="R11" s="33"/>
    </row>
    <row r="12" spans="1:18">
      <c r="A12" s="33" t="s">
        <v>255</v>
      </c>
      <c r="B12" s="38">
        <f t="shared" si="0"/>
        <v>1332.65254097977</v>
      </c>
      <c r="C12" s="34"/>
      <c r="D12" s="38">
        <f>IF(ISERROR(TER_rest_gas_kWh/1000),0,TER_rest_gas_kWh/1000)*0.902</f>
        <v>3012.1852293637307</v>
      </c>
      <c r="E12" s="34">
        <f>$C$32*'E Balans VL '!I8/100/3.6*1000000</f>
        <v>11.514571977699395</v>
      </c>
      <c r="F12" s="34">
        <f>$C$32*('E Balans VL '!L8+'E Balans VL '!N8)/100/3.6*1000000</f>
        <v>265.44754887235212</v>
      </c>
      <c r="G12" s="35"/>
      <c r="H12" s="34"/>
      <c r="I12" s="34"/>
      <c r="J12" s="34">
        <f>$C$32*('E Balans VL '!D8+'E Balans VL '!E8)/100/3.6*1000000</f>
        <v>0</v>
      </c>
      <c r="K12" s="34"/>
      <c r="L12" s="34"/>
      <c r="M12" s="34"/>
      <c r="N12" s="34">
        <f>$C$32*'E Balans VL '!Y8/100/3.6*1000000</f>
        <v>87.652416808907873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3560.540817561252</v>
      </c>
      <c r="C16" s="22">
        <f t="shared" ca="1" si="1"/>
        <v>0</v>
      </c>
      <c r="D16" s="22">
        <f t="shared" ca="1" si="1"/>
        <v>4285.4518761921709</v>
      </c>
      <c r="E16" s="22">
        <f t="shared" si="1"/>
        <v>53.551936284226514</v>
      </c>
      <c r="F16" s="22">
        <f t="shared" ca="1" si="1"/>
        <v>760.59665333527846</v>
      </c>
      <c r="G16" s="22">
        <f t="shared" si="1"/>
        <v>0</v>
      </c>
      <c r="H16" s="22">
        <f t="shared" si="1"/>
        <v>0</v>
      </c>
      <c r="I16" s="22">
        <f t="shared" si="1"/>
        <v>0</v>
      </c>
      <c r="J16" s="22">
        <f t="shared" si="1"/>
        <v>0</v>
      </c>
      <c r="K16" s="22">
        <f t="shared" si="1"/>
        <v>0</v>
      </c>
      <c r="L16" s="22">
        <f t="shared" ca="1" si="1"/>
        <v>0</v>
      </c>
      <c r="M16" s="22">
        <f t="shared" si="1"/>
        <v>0</v>
      </c>
      <c r="N16" s="22">
        <f t="shared" ca="1" si="1"/>
        <v>374.24094046401387</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0.18819914076597727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670.09072252721785</v>
      </c>
      <c r="C20" s="24">
        <f t="shared" ref="C20:P20" ca="1" si="2">C16*C18</f>
        <v>0</v>
      </c>
      <c r="D20" s="24">
        <f t="shared" ca="1" si="2"/>
        <v>865.66127899081857</v>
      </c>
      <c r="E20" s="24">
        <f t="shared" si="2"/>
        <v>12.156289536519418</v>
      </c>
      <c r="F20" s="24">
        <f t="shared" ca="1" si="2"/>
        <v>203.07930644051936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352.56995636975898</v>
      </c>
      <c r="C26" s="40">
        <f>IF(ISERROR(B26*3.6/1000000/'E Balans VL '!Z12*100),0,B26*3.6/1000000/'E Balans VL '!Z12*100)</f>
        <v>7.4918587339965889E-3</v>
      </c>
      <c r="D26" s="236" t="s">
        <v>691</v>
      </c>
      <c r="F26" s="6"/>
    </row>
    <row r="27" spans="1:18">
      <c r="A27" s="231" t="s">
        <v>52</v>
      </c>
      <c r="B27" s="34">
        <f>IF(ISERROR(TER_horeca_ele_kWh/1000),0,TER_horeca_ele_kWh/1000)</f>
        <v>652.15299556081993</v>
      </c>
      <c r="C27" s="40">
        <f>IF(ISERROR(B27*3.6/1000000/'E Balans VL '!Z9*100),0,B27*3.6/1000000/'E Balans VL '!Z9*100)</f>
        <v>5.1329483827881092E-2</v>
      </c>
      <c r="D27" s="236" t="s">
        <v>691</v>
      </c>
      <c r="F27" s="6"/>
    </row>
    <row r="28" spans="1:18">
      <c r="A28" s="171" t="s">
        <v>51</v>
      </c>
      <c r="B28" s="34">
        <f>IF(ISERROR(TER_handel_ele_kWh/1000),0,TER_handel_ele_kWh/1000)</f>
        <v>658.45485028544499</v>
      </c>
      <c r="C28" s="40">
        <f>IF(ISERROR(B28*3.6/1000000/'E Balans VL '!Z13*100),0,B28*3.6/1000000/'E Balans VL '!Z13*100)</f>
        <v>1.8443672747618892E-2</v>
      </c>
      <c r="D28" s="236" t="s">
        <v>691</v>
      </c>
      <c r="F28" s="6"/>
    </row>
    <row r="29" spans="1:18">
      <c r="A29" s="231" t="s">
        <v>50</v>
      </c>
      <c r="B29" s="34">
        <f>IF(ISERROR(TER_gezond_ele_kWh/1000),0,TER_gezond_ele_kWh/1000)</f>
        <v>41.471695688883202</v>
      </c>
      <c r="C29" s="40">
        <f>IF(ISERROR(B29*3.6/1000000/'E Balans VL '!Z10*100),0,B29*3.6/1000000/'E Balans VL '!Z10*100)</f>
        <v>5.3054839321795486E-3</v>
      </c>
      <c r="D29" s="236" t="s">
        <v>691</v>
      </c>
      <c r="F29" s="6"/>
    </row>
    <row r="30" spans="1:18">
      <c r="A30" s="231" t="s">
        <v>49</v>
      </c>
      <c r="B30" s="34">
        <f>IF(ISERROR(TER_ander_ele_kWh/1000),0,TER_ander_ele_kWh/1000)</f>
        <v>490.07512003864304</v>
      </c>
      <c r="C30" s="40">
        <f>IF(ISERROR(B30*3.6/1000000/'E Balans VL '!Z14*100),0,B30*3.6/1000000/'E Balans VL '!Z14*100)</f>
        <v>3.6653489533792188E-2</v>
      </c>
      <c r="D30" s="236" t="s">
        <v>691</v>
      </c>
      <c r="F30" s="6"/>
    </row>
    <row r="31" spans="1:18">
      <c r="A31" s="231" t="s">
        <v>54</v>
      </c>
      <c r="B31" s="34">
        <f>IF(ISERROR(TER_onderwijs_ele_kWh/1000),0,TER_onderwijs_ele_kWh/1000)</f>
        <v>33.163658637931896</v>
      </c>
      <c r="C31" s="40">
        <f>IF(ISERROR(B31*3.6/1000000/'E Balans VL '!Z11*100),0,B31*3.6/1000000/'E Balans VL '!Z11*100)</f>
        <v>7.0025494793175729E-3</v>
      </c>
      <c r="D31" s="236" t="s">
        <v>691</v>
      </c>
    </row>
    <row r="32" spans="1:18">
      <c r="A32" s="231" t="s">
        <v>255</v>
      </c>
      <c r="B32" s="34">
        <f>IF(ISERROR(TER_rest_ele_kWh/1000),0,TER_rest_ele_kWh/1000)</f>
        <v>1332.65254097977</v>
      </c>
      <c r="C32" s="40">
        <f>IF(ISERROR(B32*3.6/1000000/'E Balans VL '!Z8*100),0,B32*3.6/1000000/'E Balans VL '!Z8*100)</f>
        <v>1.0978301099426895E-2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3977.9441235138197</v>
      </c>
      <c r="C5" s="18">
        <f>IF(ISERROR('Eigen informatie GS &amp; warmtenet'!B59),0,'Eigen informatie GS &amp; warmtenet'!B59)</f>
        <v>0</v>
      </c>
      <c r="D5" s="31">
        <f>SUM(D6:D15)</f>
        <v>198.13504565536954</v>
      </c>
      <c r="E5" s="18">
        <f>SUM(E6:E15)</f>
        <v>34.465849941803114</v>
      </c>
      <c r="F5" s="18">
        <f>SUM(F6:F15)</f>
        <v>984.3412501524125</v>
      </c>
      <c r="G5" s="19"/>
      <c r="H5" s="18"/>
      <c r="I5" s="18"/>
      <c r="J5" s="18">
        <f>SUM(J6:J15)</f>
        <v>28.00326412979603</v>
      </c>
      <c r="K5" s="18"/>
      <c r="L5" s="18"/>
      <c r="M5" s="18"/>
      <c r="N5" s="18">
        <f>SUM(N6:N15)</f>
        <v>117.31149507481913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891.27286901511297</v>
      </c>
      <c r="C8" s="34"/>
      <c r="D8" s="38">
        <f>IF( ISERROR(IND_metaal_Gas_kWH/1000),0,IND_metaal_Gas_kWH/1000)*0.902</f>
        <v>0</v>
      </c>
      <c r="E8" s="34">
        <f>C30*'E Balans VL '!I18/100/3.6*1000000</f>
        <v>8.1166613997384669</v>
      </c>
      <c r="F8" s="34">
        <f>C30*'E Balans VL '!L18/100/3.6*1000000+C30*'E Balans VL '!N18/100/3.6*1000000</f>
        <v>117.55212298067445</v>
      </c>
      <c r="G8" s="35"/>
      <c r="H8" s="34"/>
      <c r="I8" s="34"/>
      <c r="J8" s="41">
        <f>C30*'E Balans VL '!D18/100/3.6*1000000+C30*'E Balans VL '!E18/100/3.6*1000000</f>
        <v>14.615580970240526</v>
      </c>
      <c r="K8" s="34"/>
      <c r="L8" s="34"/>
      <c r="M8" s="34"/>
      <c r="N8" s="34">
        <f>C30*'E Balans VL '!Y18/100/3.6*1000000</f>
        <v>3.0629507935659523</v>
      </c>
      <c r="O8" s="34"/>
      <c r="P8" s="34"/>
      <c r="R8" s="33"/>
    </row>
    <row r="9" spans="1:18">
      <c r="A9" s="6" t="s">
        <v>32</v>
      </c>
      <c r="B9" s="38">
        <f t="shared" si="0"/>
        <v>432.59006271232698</v>
      </c>
      <c r="C9" s="34"/>
      <c r="D9" s="38">
        <f>IF( ISERROR(IND_andere_gas_kWh/1000),0,IND_andere_gas_kWh/1000)*0.902</f>
        <v>110.19092504667441</v>
      </c>
      <c r="E9" s="34">
        <f>C31*'E Balans VL '!I19/100/3.6*1000000</f>
        <v>2.5004352077151215</v>
      </c>
      <c r="F9" s="34">
        <f>C31*'E Balans VL '!L19/100/3.6*1000000+C31*'E Balans VL '!N19/100/3.6*1000000</f>
        <v>344.14621029777777</v>
      </c>
      <c r="G9" s="35"/>
      <c r="H9" s="34"/>
      <c r="I9" s="34"/>
      <c r="J9" s="41">
        <f>C31*'E Balans VL '!D19/100/3.6*1000000+C31*'E Balans VL '!E19/100/3.6*1000000</f>
        <v>4.0918214858267479E-2</v>
      </c>
      <c r="K9" s="34"/>
      <c r="L9" s="34"/>
      <c r="M9" s="34"/>
      <c r="N9" s="34">
        <f>C31*'E Balans VL '!Y19/100/3.6*1000000</f>
        <v>32.775243768791306</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2654.0811917863798</v>
      </c>
      <c r="C15" s="34"/>
      <c r="D15" s="38">
        <f>IF( ISERROR(IND_rest_gas_kWh/1000),0,IND_rest_gas_kWh/1000)*0.902</f>
        <v>87.94412060869513</v>
      </c>
      <c r="E15" s="34">
        <f>C37*'E Balans VL '!I15/100/3.6*1000000</f>
        <v>23.848753334349524</v>
      </c>
      <c r="F15" s="34">
        <f>C37*'E Balans VL '!L15/100/3.6*1000000+C37*'E Balans VL '!N15/100/3.6*1000000</f>
        <v>522.6429168739603</v>
      </c>
      <c r="G15" s="35"/>
      <c r="H15" s="34"/>
      <c r="I15" s="34"/>
      <c r="J15" s="41">
        <f>C37*'E Balans VL '!D15/100/3.6*1000000+C37*'E Balans VL '!E15/100/3.6*1000000</f>
        <v>13.346764944697236</v>
      </c>
      <c r="K15" s="34"/>
      <c r="L15" s="34"/>
      <c r="M15" s="34"/>
      <c r="N15" s="34">
        <f>C37*'E Balans VL '!Y15/100/3.6*1000000</f>
        <v>81.473300512461876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3977.9441235138197</v>
      </c>
      <c r="C18" s="22">
        <f>C5+C16</f>
        <v>0</v>
      </c>
      <c r="D18" s="22">
        <f>MAX((D5+D16),0)</f>
        <v>198.13504565536954</v>
      </c>
      <c r="E18" s="22">
        <f>MAX((E5+E16),0)</f>
        <v>34.465849941803114</v>
      </c>
      <c r="F18" s="22">
        <f>MAX((F5+F16),0)</f>
        <v>984.3412501524125</v>
      </c>
      <c r="G18" s="22"/>
      <c r="H18" s="22"/>
      <c r="I18" s="22"/>
      <c r="J18" s="22">
        <f>MAX((J5+J16),0)</f>
        <v>28.00326412979603</v>
      </c>
      <c r="K18" s="22"/>
      <c r="L18" s="22">
        <f>MAX((L5+L16),0)</f>
        <v>0</v>
      </c>
      <c r="M18" s="22"/>
      <c r="N18" s="22">
        <f>MAX((N5+N16),0)</f>
        <v>117.31149507481913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0.18819914076597727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748.64566606036942</v>
      </c>
      <c r="C22" s="24">
        <f ca="1">C18*C20</f>
        <v>0</v>
      </c>
      <c r="D22" s="24">
        <f>D18*D20</f>
        <v>40.023279222384652</v>
      </c>
      <c r="E22" s="24">
        <f>E18*E20</f>
        <v>7.8237479367893075</v>
      </c>
      <c r="F22" s="24">
        <f>F18*F20</f>
        <v>262.81911379069413</v>
      </c>
      <c r="G22" s="24"/>
      <c r="H22" s="24"/>
      <c r="I22" s="24"/>
      <c r="J22" s="24">
        <f>J18*J20</f>
        <v>9.9131555019477933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891.27286901511297</v>
      </c>
      <c r="C30" s="40">
        <f>IF(ISERROR(B30*3.6/1000000/'E Balans VL '!Z18*100),0,B30*3.6/1000000/'E Balans VL '!Z18*100)</f>
        <v>4.9593375270150244E-2</v>
      </c>
      <c r="D30" s="236" t="s">
        <v>691</v>
      </c>
    </row>
    <row r="31" spans="1:18">
      <c r="A31" s="6" t="s">
        <v>32</v>
      </c>
      <c r="B31" s="38">
        <f>IF( ISERROR(IND_ander_ele_kWh/1000),0,IND_ander_ele_kWh/1000)</f>
        <v>432.59006271232698</v>
      </c>
      <c r="C31" s="40">
        <f>IF(ISERROR(B31*3.6/1000000/'E Balans VL '!Z19*100),0,B31*3.6/1000000/'E Balans VL '!Z19*100)</f>
        <v>2.0109975903039309E-2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2654.0811917863798</v>
      </c>
      <c r="C37" s="40">
        <f>IF(ISERROR(B37*3.6/1000000/'E Balans VL '!Z15*100),0,B37*3.6/1000000/'E Balans VL '!Z15*100)</f>
        <v>2.0042233668771541E-2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6014.1261698653743</v>
      </c>
      <c r="C5" s="18">
        <f>'Eigen informatie GS &amp; warmtenet'!B60</f>
        <v>0</v>
      </c>
      <c r="D5" s="31">
        <f>IF(ISERROR(SUM(LB_lb_gas_kWh,LB_rest_gas_kWh)/1000),0,SUM(LB_lb_gas_kWh,LB_rest_gas_kWh)/1000)*0.902</f>
        <v>149.58109760149921</v>
      </c>
      <c r="E5" s="18">
        <f>B17*'E Balans VL '!I25/3.6*1000000/100</f>
        <v>56.657098116848886</v>
      </c>
      <c r="F5" s="18">
        <f>B17*('E Balans VL '!L25/3.6*1000000+'E Balans VL '!N25/3.6*1000000)/100</f>
        <v>19626.089605458885</v>
      </c>
      <c r="G5" s="19"/>
      <c r="H5" s="18"/>
      <c r="I5" s="18"/>
      <c r="J5" s="18">
        <f>('E Balans VL '!D25+'E Balans VL '!E25)/3.6*1000000*landbouw!B17/100</f>
        <v>743.9766599164177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6014.1261698653743</v>
      </c>
      <c r="C8" s="22">
        <f>C5+C6</f>
        <v>0</v>
      </c>
      <c r="D8" s="22">
        <f>MAX((D5+D6),0)</f>
        <v>149.58109760149921</v>
      </c>
      <c r="E8" s="22">
        <f>MAX((E5+E6),0)</f>
        <v>56.657098116848886</v>
      </c>
      <c r="F8" s="22">
        <f>MAX((F5+F6),0)</f>
        <v>19626.089605458885</v>
      </c>
      <c r="G8" s="22"/>
      <c r="H8" s="22"/>
      <c r="I8" s="22"/>
      <c r="J8" s="22">
        <f>MAX((J5+J6),0)</f>
        <v>743.9766599164177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0.18819914076597727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1131.8533776268414</v>
      </c>
      <c r="C12" s="24">
        <f ca="1">C8*C10</f>
        <v>0</v>
      </c>
      <c r="D12" s="24">
        <f>D8*D10</f>
        <v>30.215381715502843</v>
      </c>
      <c r="E12" s="24">
        <f>E8*E10</f>
        <v>12.861161272524697</v>
      </c>
      <c r="F12" s="24">
        <f>F8*F10</f>
        <v>5240.1659246575227</v>
      </c>
      <c r="G12" s="24"/>
      <c r="H12" s="24"/>
      <c r="I12" s="24"/>
      <c r="J12" s="24">
        <f>J8*J10</f>
        <v>263.36773761041184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0.81421658073568803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928.79777143925469</v>
      </c>
      <c r="C26" s="246">
        <f>B26*'GWP N2O_CH4'!B5</f>
        <v>19504.75320022435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562.28302290313036</v>
      </c>
      <c r="C27" s="246">
        <f>B27*'GWP N2O_CH4'!B5</f>
        <v>11807.943480965738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14.674512865148843</v>
      </c>
      <c r="C28" s="246">
        <f>B28*'GWP N2O_CH4'!B4</f>
        <v>4549.0989881961414</v>
      </c>
      <c r="D28" s="51"/>
    </row>
    <row r="29" spans="1:4">
      <c r="A29" s="42" t="s">
        <v>272</v>
      </c>
      <c r="B29" s="246">
        <f>B34*'ha_N2O bodem landbouw'!B4</f>
        <v>30.566152021646467</v>
      </c>
      <c r="C29" s="246">
        <f>B29*'GWP N2O_CH4'!B4</f>
        <v>9475.5071267104049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8.2518988152226833E-3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4.0787499937563166E-6</v>
      </c>
      <c r="C5" s="435" t="s">
        <v>210</v>
      </c>
      <c r="D5" s="420">
        <f>SUM(D6:D11)</f>
        <v>6.2923214863655236E-6</v>
      </c>
      <c r="E5" s="420">
        <f>SUM(E6:E11)</f>
        <v>3.9356358720747122E-4</v>
      </c>
      <c r="F5" s="433" t="s">
        <v>210</v>
      </c>
      <c r="G5" s="420">
        <f>SUM(G6:G11)</f>
        <v>7.8545594252141512E-2</v>
      </c>
      <c r="H5" s="420">
        <f>SUM(H6:H11)</f>
        <v>1.4859348211487574E-2</v>
      </c>
      <c r="I5" s="435" t="s">
        <v>210</v>
      </c>
      <c r="J5" s="435" t="s">
        <v>210</v>
      </c>
      <c r="K5" s="435" t="s">
        <v>210</v>
      </c>
      <c r="L5" s="435" t="s">
        <v>210</v>
      </c>
      <c r="M5" s="420">
        <f>SUM(M6:M11)</f>
        <v>4.1755781796699483E-3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1.7081859064734337E-6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1.9894924767348002E-6</v>
      </c>
      <c r="E6" s="423">
        <f>vkm_GW_PW*SUMIFS(TableVerdeelsleutelVkm[LPG],TableVerdeelsleutelVkm[Voertuigtype],"Lichte voertuigen")*SUMIFS(TableECFTransport[EnergieConsumptieFactor (PJ per km)],TableECFTransport[Index],CONCATENATE($A6,"_LPG_LPG"))</f>
        <v>1.2907315947913522E-4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2.0137839579112422E-2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4.8532161524268425E-3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1.1183513715203894E-3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7.4007396282336029E-8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1.224245660316358E-2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3.285087358789441E-7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5.4474938169493442E-4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2.2620608767051311E-6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4.302829009630723E-6</v>
      </c>
      <c r="E8" s="423">
        <f>vkm_NGW_PW*SUMIFS(TableVerdeelsleutelVkm[LPG],TableVerdeelsleutelVkm[Voertuigtype],"Lichte voertuigen")*SUMIFS(TableECFTransport[EnergieConsumptieFactor (PJ per km)],TableECFTransport[Index],CONCATENATE($A8,"_LPG_LPG"))</f>
        <v>2.6449042772833597E-4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3.8847761963619748E-2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1.0005618727907901E-2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2.186871469166999E-3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3.4495814295416379E-8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7.3175361062457643E-3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1.848224169512196E-7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3.2560595728762588E-4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1.1329861093767546</v>
      </c>
      <c r="C14" s="22"/>
      <c r="D14" s="22">
        <f t="shared" ref="D14:M14" si="0">((D5)*10^9/3600)+D12</f>
        <v>1.747867079545979</v>
      </c>
      <c r="E14" s="22">
        <f t="shared" si="0"/>
        <v>109.323218668742</v>
      </c>
      <c r="F14" s="22"/>
      <c r="G14" s="22">
        <f t="shared" si="0"/>
        <v>21818.220625594862</v>
      </c>
      <c r="H14" s="22">
        <f t="shared" si="0"/>
        <v>4127.5967254132147</v>
      </c>
      <c r="I14" s="22"/>
      <c r="J14" s="22"/>
      <c r="K14" s="22"/>
      <c r="L14" s="22"/>
      <c r="M14" s="22">
        <f t="shared" si="0"/>
        <v>1159.8828276860968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0.18819914076597727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0.21322701228449276</v>
      </c>
      <c r="C18" s="24"/>
      <c r="D18" s="24">
        <f t="shared" ref="D18:M18" si="1">D14*D16</f>
        <v>0.35306915006828776</v>
      </c>
      <c r="E18" s="24">
        <f t="shared" si="1"/>
        <v>24.816370637804436</v>
      </c>
      <c r="F18" s="24"/>
      <c r="G18" s="24">
        <f t="shared" si="1"/>
        <v>5825.4649070338282</v>
      </c>
      <c r="H18" s="24">
        <f t="shared" si="1"/>
        <v>1027.7715846278904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4.2188412716746165E-6</v>
      </c>
      <c r="C50" s="316">
        <f t="shared" ref="C50:P50" si="2">SUM(C51:C52)</f>
        <v>0</v>
      </c>
      <c r="D50" s="316">
        <f t="shared" si="2"/>
        <v>0</v>
      </c>
      <c r="E50" s="316">
        <f t="shared" si="2"/>
        <v>0</v>
      </c>
      <c r="F50" s="316">
        <f t="shared" si="2"/>
        <v>0</v>
      </c>
      <c r="G50" s="316">
        <f t="shared" si="2"/>
        <v>8.4145620935676204E-4</v>
      </c>
      <c r="H50" s="316">
        <f t="shared" si="2"/>
        <v>0</v>
      </c>
      <c r="I50" s="316">
        <f t="shared" si="2"/>
        <v>0</v>
      </c>
      <c r="J50" s="316">
        <f t="shared" si="2"/>
        <v>0</v>
      </c>
      <c r="K50" s="316">
        <f t="shared" si="2"/>
        <v>0</v>
      </c>
      <c r="L50" s="316">
        <f t="shared" si="2"/>
        <v>0</v>
      </c>
      <c r="M50" s="316">
        <f t="shared" si="2"/>
        <v>3.7191468252398922E-5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4.2188412716746165E-6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8.4145620935676204E-4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3.7191468252398922E-5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1.1719003532429488</v>
      </c>
      <c r="C54" s="22">
        <f t="shared" ref="C54:P54" si="3">(C50)*10^9/3600</f>
        <v>0</v>
      </c>
      <c r="D54" s="22">
        <f t="shared" si="3"/>
        <v>0</v>
      </c>
      <c r="E54" s="22">
        <f t="shared" si="3"/>
        <v>0</v>
      </c>
      <c r="F54" s="22">
        <f t="shared" si="3"/>
        <v>0</v>
      </c>
      <c r="G54" s="22">
        <f t="shared" si="3"/>
        <v>233.73783593243388</v>
      </c>
      <c r="H54" s="22">
        <f t="shared" si="3"/>
        <v>0</v>
      </c>
      <c r="I54" s="22">
        <f t="shared" si="3"/>
        <v>0</v>
      </c>
      <c r="J54" s="22">
        <f t="shared" si="3"/>
        <v>0</v>
      </c>
      <c r="K54" s="22">
        <f t="shared" si="3"/>
        <v>0</v>
      </c>
      <c r="L54" s="22">
        <f t="shared" si="3"/>
        <v>0</v>
      </c>
      <c r="M54" s="22">
        <f t="shared" si="3"/>
        <v>10.330963403444146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0.18819914076597727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0.22055063954366821</v>
      </c>
      <c r="C58" s="24">
        <f t="shared" ref="C58:P58" ca="1" si="4">C54*C56</f>
        <v>0</v>
      </c>
      <c r="D58" s="24">
        <f t="shared" si="4"/>
        <v>0</v>
      </c>
      <c r="E58" s="24">
        <f t="shared" si="4"/>
        <v>0</v>
      </c>
      <c r="F58" s="24">
        <f t="shared" si="4"/>
        <v>0</v>
      </c>
      <c r="G58" s="24">
        <f t="shared" si="4"/>
        <v>62.408002193959852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2944.8866038361257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2944.8866038361257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2021-06-29T16:42:58Z</dcterms:modified>
</cp:coreProperties>
</file>